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960" yWindow="11355" windowWidth="20730" windowHeight="11760"/>
  </bookViews>
  <sheets>
    <sheet name="Раздвижные двери" sheetId="1" r:id="rId1"/>
    <sheet name="Эконом" sheetId="4" r:id="rId2"/>
    <sheet name="ЛАЙТ" sheetId="2" r:id="rId3"/>
    <sheet name="Распашные двери" sheetId="3" r:id="rId4"/>
    <sheet name="Средняя рамка" sheetId="5" r:id="rId5"/>
    <sheet name="Микс Основная система" sheetId="6" r:id="rId6"/>
    <sheet name="списки" sheetId="8" state="hidden" r:id="rId7"/>
    <sheet name="Лист1" sheetId="9" r:id="rId8"/>
  </sheets>
  <definedNames>
    <definedName name="наполнение">списки!$B$1:$B$3</definedName>
    <definedName name="ручка">списки!$A$1:$A$2</definedName>
  </definedNames>
  <calcPr calcId="125725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" i="1"/>
  <c r="X12" s="1"/>
  <c r="H11" i="6"/>
  <c r="H10"/>
  <c r="H9"/>
  <c r="H8"/>
  <c r="H7"/>
  <c r="H6"/>
  <c r="H4" s="1"/>
  <c r="E4"/>
  <c r="B13"/>
  <c r="B14"/>
  <c r="G4"/>
  <c r="E7"/>
  <c r="C7"/>
  <c r="B12"/>
  <c r="B18" s="1"/>
  <c r="B11"/>
  <c r="B17" s="1"/>
  <c r="M6" i="4"/>
  <c r="L6"/>
  <c r="K6"/>
  <c r="K20" s="1"/>
  <c r="J6"/>
  <c r="I6"/>
  <c r="G6"/>
  <c r="F6"/>
  <c r="F18" s="1"/>
  <c r="E6"/>
  <c r="D6"/>
  <c r="C6"/>
  <c r="M16"/>
  <c r="L16"/>
  <c r="K16"/>
  <c r="J16"/>
  <c r="I16"/>
  <c r="G16"/>
  <c r="F16"/>
  <c r="E16"/>
  <c r="D16"/>
  <c r="C16"/>
  <c r="M15"/>
  <c r="L15"/>
  <c r="K15"/>
  <c r="J15"/>
  <c r="I15"/>
  <c r="G15"/>
  <c r="F15"/>
  <c r="E15"/>
  <c r="D15"/>
  <c r="C15"/>
  <c r="M11"/>
  <c r="M14" s="1"/>
  <c r="G11"/>
  <c r="G12" s="1"/>
  <c r="L10"/>
  <c r="L13" s="1"/>
  <c r="F10"/>
  <c r="F21" s="1"/>
  <c r="K9"/>
  <c r="K12" s="1"/>
  <c r="E9"/>
  <c r="E17" s="1"/>
  <c r="J8"/>
  <c r="J19" s="1"/>
  <c r="D8"/>
  <c r="D17" s="1"/>
  <c r="I7"/>
  <c r="I12" s="1"/>
  <c r="C7"/>
  <c r="C12" s="1"/>
  <c r="I20"/>
  <c r="I22"/>
  <c r="I18"/>
  <c r="J20"/>
  <c r="J18"/>
  <c r="J22"/>
  <c r="K18"/>
  <c r="E20"/>
  <c r="E22"/>
  <c r="E18"/>
  <c r="F20"/>
  <c r="G18"/>
  <c r="G22"/>
  <c r="G20"/>
  <c r="C22"/>
  <c r="C18"/>
  <c r="C20"/>
  <c r="L22"/>
  <c r="L20"/>
  <c r="L18"/>
  <c r="D22"/>
  <c r="D18"/>
  <c r="D20"/>
  <c r="M22"/>
  <c r="M20"/>
  <c r="M18"/>
  <c r="F13"/>
  <c r="D13"/>
  <c r="F17"/>
  <c r="F12"/>
  <c r="C13"/>
  <c r="G17"/>
  <c r="G13"/>
  <c r="G19"/>
  <c r="F14"/>
  <c r="G21"/>
  <c r="G14"/>
  <c r="D14"/>
  <c r="D21"/>
  <c r="D19"/>
  <c r="E21"/>
  <c r="E19"/>
  <c r="E13"/>
  <c r="D12"/>
  <c r="E14"/>
  <c r="C14"/>
  <c r="C21"/>
  <c r="C19"/>
  <c r="E12"/>
  <c r="C17"/>
  <c r="F19"/>
  <c r="AG7" i="1"/>
  <c r="AG14" s="1"/>
  <c r="AH8"/>
  <c r="AH13" s="1"/>
  <c r="AI9"/>
  <c r="AI13" s="1"/>
  <c r="AJ10"/>
  <c r="AJ14" s="1"/>
  <c r="AK11"/>
  <c r="AK13" s="1"/>
  <c r="AE11"/>
  <c r="AE13" s="1"/>
  <c r="AD10"/>
  <c r="AD13" s="1"/>
  <c r="AC9"/>
  <c r="AC13" s="1"/>
  <c r="AB8"/>
  <c r="AB13" s="1"/>
  <c r="AA7"/>
  <c r="AA21" s="1"/>
  <c r="AK16"/>
  <c r="AJ16"/>
  <c r="AI16"/>
  <c r="AH16"/>
  <c r="AG16"/>
  <c r="AE16"/>
  <c r="AD16"/>
  <c r="AC16"/>
  <c r="AB16"/>
  <c r="AA16"/>
  <c r="AK15"/>
  <c r="AJ15"/>
  <c r="AI15"/>
  <c r="AH15"/>
  <c r="AG15"/>
  <c r="AE15"/>
  <c r="AD15"/>
  <c r="AC15"/>
  <c r="AB15"/>
  <c r="AA15"/>
  <c r="AK6"/>
  <c r="AK22" s="1"/>
  <c r="AJ6"/>
  <c r="AJ22" s="1"/>
  <c r="AI6"/>
  <c r="AI22" s="1"/>
  <c r="AH6"/>
  <c r="AH22" s="1"/>
  <c r="AG6"/>
  <c r="AG22" s="1"/>
  <c r="AE6"/>
  <c r="AE22" s="1"/>
  <c r="AD6"/>
  <c r="AD22" s="1"/>
  <c r="AC6"/>
  <c r="AC22" s="1"/>
  <c r="AB6"/>
  <c r="AB22" s="1"/>
  <c r="AA6"/>
  <c r="AA22" s="1"/>
  <c r="E11" i="3"/>
  <c r="E10"/>
  <c r="E6"/>
  <c r="E8" s="1"/>
  <c r="E5"/>
  <c r="E17" s="1"/>
  <c r="E9"/>
  <c r="C11"/>
  <c r="C10"/>
  <c r="C6"/>
  <c r="C16" s="1"/>
  <c r="C5"/>
  <c r="C17"/>
  <c r="J14" i="2"/>
  <c r="K14"/>
  <c r="L14"/>
  <c r="M14"/>
  <c r="J15"/>
  <c r="K15"/>
  <c r="L15"/>
  <c r="M15"/>
  <c r="I15"/>
  <c r="I14"/>
  <c r="D14"/>
  <c r="E14"/>
  <c r="F14"/>
  <c r="G14"/>
  <c r="D15"/>
  <c r="E15"/>
  <c r="F15"/>
  <c r="G15"/>
  <c r="C15"/>
  <c r="C14"/>
  <c r="M10"/>
  <c r="M12" s="1"/>
  <c r="L9"/>
  <c r="L20"/>
  <c r="K8"/>
  <c r="K12" s="1"/>
  <c r="D7"/>
  <c r="D12"/>
  <c r="J7"/>
  <c r="J20" s="1"/>
  <c r="I6"/>
  <c r="I12"/>
  <c r="G10"/>
  <c r="G20" s="1"/>
  <c r="F9"/>
  <c r="F12"/>
  <c r="E8"/>
  <c r="E20" s="1"/>
  <c r="C6"/>
  <c r="C20"/>
  <c r="J5"/>
  <c r="J21" s="1"/>
  <c r="K5"/>
  <c r="K21"/>
  <c r="L5"/>
  <c r="L21" s="1"/>
  <c r="M5"/>
  <c r="M21"/>
  <c r="I5"/>
  <c r="I21" s="1"/>
  <c r="D5"/>
  <c r="D21"/>
  <c r="E5"/>
  <c r="E21" s="1"/>
  <c r="F5"/>
  <c r="F21"/>
  <c r="G5"/>
  <c r="G21" s="1"/>
  <c r="C5"/>
  <c r="C21"/>
  <c r="Y11" i="1"/>
  <c r="Y13" s="1"/>
  <c r="X21"/>
  <c r="W9"/>
  <c r="W13" s="1"/>
  <c r="V8"/>
  <c r="V21" s="1"/>
  <c r="U7"/>
  <c r="U19" s="1"/>
  <c r="S11"/>
  <c r="S21" s="1"/>
  <c r="Q9"/>
  <c r="Q21" s="1"/>
  <c r="P8"/>
  <c r="P14" s="1"/>
  <c r="R10"/>
  <c r="R13" s="1"/>
  <c r="O7"/>
  <c r="O21" s="1"/>
  <c r="Y16"/>
  <c r="X16"/>
  <c r="W16"/>
  <c r="V16"/>
  <c r="U16"/>
  <c r="Y15"/>
  <c r="X15"/>
  <c r="W15"/>
  <c r="V15"/>
  <c r="U15"/>
  <c r="S16"/>
  <c r="R16"/>
  <c r="Q16"/>
  <c r="P16"/>
  <c r="O16"/>
  <c r="S15"/>
  <c r="R15"/>
  <c r="Q15"/>
  <c r="P15"/>
  <c r="O15"/>
  <c r="V6"/>
  <c r="V20" s="1"/>
  <c r="W6"/>
  <c r="W22" s="1"/>
  <c r="X6"/>
  <c r="X20" s="1"/>
  <c r="Y6"/>
  <c r="Y22" s="1"/>
  <c r="U6"/>
  <c r="U20" s="1"/>
  <c r="P6"/>
  <c r="P20" s="1"/>
  <c r="Q6"/>
  <c r="Q22" s="1"/>
  <c r="R6"/>
  <c r="R20" s="1"/>
  <c r="S6"/>
  <c r="S22" s="1"/>
  <c r="O6"/>
  <c r="O20" s="1"/>
  <c r="M16"/>
  <c r="L16"/>
  <c r="K16"/>
  <c r="J16"/>
  <c r="I16"/>
  <c r="M15"/>
  <c r="L15"/>
  <c r="K15"/>
  <c r="J15"/>
  <c r="I15"/>
  <c r="D16"/>
  <c r="E16"/>
  <c r="F16"/>
  <c r="G16"/>
  <c r="C16"/>
  <c r="D15"/>
  <c r="E15"/>
  <c r="F15"/>
  <c r="G15"/>
  <c r="C15"/>
  <c r="M11"/>
  <c r="M14" s="1"/>
  <c r="L10"/>
  <c r="L21" s="1"/>
  <c r="K9"/>
  <c r="K14" s="1"/>
  <c r="J8"/>
  <c r="J21" s="1"/>
  <c r="I7"/>
  <c r="I12" s="1"/>
  <c r="G11"/>
  <c r="G21" s="1"/>
  <c r="F10"/>
  <c r="F19" s="1"/>
  <c r="E9"/>
  <c r="E21" s="1"/>
  <c r="D8"/>
  <c r="D19" s="1"/>
  <c r="K6"/>
  <c r="K22" s="1"/>
  <c r="L6"/>
  <c r="L22" s="1"/>
  <c r="M6"/>
  <c r="M22" s="1"/>
  <c r="J6"/>
  <c r="J22" s="1"/>
  <c r="I6"/>
  <c r="I22" s="1"/>
  <c r="G6"/>
  <c r="G22" s="1"/>
  <c r="F6"/>
  <c r="F22" s="1"/>
  <c r="E6"/>
  <c r="E22" s="1"/>
  <c r="D6"/>
  <c r="D22" s="1"/>
  <c r="C7"/>
  <c r="C21" s="1"/>
  <c r="C6"/>
  <c r="C20" s="1"/>
  <c r="AK14"/>
  <c r="AB12"/>
  <c r="AG13"/>
  <c r="C7" i="3"/>
  <c r="C9"/>
  <c r="AB21" i="1"/>
  <c r="AK21"/>
  <c r="AD14"/>
  <c r="AI12"/>
  <c r="AE12"/>
  <c r="AH14"/>
  <c r="AB17"/>
  <c r="AG21"/>
  <c r="AI17"/>
  <c r="AB14"/>
  <c r="AI14"/>
  <c r="AD17"/>
  <c r="AD21"/>
  <c r="AI21"/>
  <c r="AG17"/>
  <c r="AK17"/>
  <c r="AD12"/>
  <c r="AK12"/>
  <c r="AC17"/>
  <c r="AE17"/>
  <c r="AC21"/>
  <c r="AE21"/>
  <c r="AH21"/>
  <c r="AJ21"/>
  <c r="AC12"/>
  <c r="AH17"/>
  <c r="AJ17"/>
  <c r="AC14"/>
  <c r="AE14"/>
  <c r="AH12"/>
  <c r="AJ13"/>
  <c r="AA12"/>
  <c r="AA14"/>
  <c r="AA17"/>
  <c r="AA13"/>
  <c r="AG12"/>
  <c r="AJ12"/>
  <c r="AA18"/>
  <c r="AC18"/>
  <c r="AH18"/>
  <c r="AJ18"/>
  <c r="AD18"/>
  <c r="AI18"/>
  <c r="C13" i="3"/>
  <c r="C15"/>
  <c r="E14"/>
  <c r="C8"/>
  <c r="C12"/>
  <c r="C14"/>
  <c r="E7"/>
  <c r="E12"/>
  <c r="E16"/>
  <c r="E13"/>
  <c r="E15"/>
  <c r="C12" i="2"/>
  <c r="D11"/>
  <c r="D13"/>
  <c r="E12"/>
  <c r="F11"/>
  <c r="F13"/>
  <c r="G12"/>
  <c r="I11"/>
  <c r="K11"/>
  <c r="M11"/>
  <c r="J12"/>
  <c r="L12"/>
  <c r="I13"/>
  <c r="K13"/>
  <c r="M13"/>
  <c r="D16"/>
  <c r="F16"/>
  <c r="I16"/>
  <c r="K16"/>
  <c r="M16"/>
  <c r="D18"/>
  <c r="F18"/>
  <c r="I18"/>
  <c r="K18"/>
  <c r="M18"/>
  <c r="D20"/>
  <c r="F20"/>
  <c r="I20"/>
  <c r="K20"/>
  <c r="M20"/>
  <c r="C11"/>
  <c r="C13"/>
  <c r="E11"/>
  <c r="E13"/>
  <c r="G11"/>
  <c r="G13"/>
  <c r="J11"/>
  <c r="L11"/>
  <c r="J13"/>
  <c r="L13"/>
  <c r="C16"/>
  <c r="E16"/>
  <c r="G16"/>
  <c r="J16"/>
  <c r="L16"/>
  <c r="C18"/>
  <c r="E18"/>
  <c r="G18"/>
  <c r="J18"/>
  <c r="L18"/>
  <c r="C17"/>
  <c r="F17"/>
  <c r="D17"/>
  <c r="I17"/>
  <c r="K17"/>
  <c r="M17"/>
  <c r="C19"/>
  <c r="F19"/>
  <c r="D19"/>
  <c r="I19"/>
  <c r="K19"/>
  <c r="M19"/>
  <c r="G17"/>
  <c r="E17"/>
  <c r="J17"/>
  <c r="L17"/>
  <c r="G19"/>
  <c r="E19"/>
  <c r="J19"/>
  <c r="L19"/>
  <c r="C18" i="1"/>
  <c r="F18"/>
  <c r="F20"/>
  <c r="J12"/>
  <c r="L12"/>
  <c r="K13"/>
  <c r="M13"/>
  <c r="J14"/>
  <c r="L14"/>
  <c r="I17"/>
  <c r="K17"/>
  <c r="M17"/>
  <c r="J18"/>
  <c r="L18"/>
  <c r="I19"/>
  <c r="K19"/>
  <c r="M19"/>
  <c r="J20"/>
  <c r="L20"/>
  <c r="I21"/>
  <c r="K21"/>
  <c r="M21"/>
  <c r="P17"/>
  <c r="R17"/>
  <c r="O18"/>
  <c r="R18"/>
  <c r="P18"/>
  <c r="Q20"/>
  <c r="O22"/>
  <c r="R22"/>
  <c r="P22"/>
  <c r="O19"/>
  <c r="Q19"/>
  <c r="S19"/>
  <c r="O12"/>
  <c r="O14"/>
  <c r="P13"/>
  <c r="Q12"/>
  <c r="S12"/>
  <c r="Q14"/>
  <c r="R14"/>
  <c r="S14"/>
  <c r="P21"/>
  <c r="R21"/>
  <c r="U12"/>
  <c r="W12"/>
  <c r="Y12"/>
  <c r="U14"/>
  <c r="V14"/>
  <c r="W14"/>
  <c r="Y14"/>
  <c r="U18"/>
  <c r="X18"/>
  <c r="V18"/>
  <c r="W17"/>
  <c r="Y17"/>
  <c r="U21"/>
  <c r="W19"/>
  <c r="Y19"/>
  <c r="W21"/>
  <c r="Y21"/>
  <c r="Y20"/>
  <c r="W20"/>
  <c r="U22"/>
  <c r="X22"/>
  <c r="V22"/>
  <c r="G18"/>
  <c r="E18"/>
  <c r="G20"/>
  <c r="E20"/>
  <c r="C12"/>
  <c r="K12"/>
  <c r="M12"/>
  <c r="J13"/>
  <c r="L13"/>
  <c r="I14"/>
  <c r="J17"/>
  <c r="L17"/>
  <c r="M18"/>
  <c r="J19"/>
  <c r="L19"/>
  <c r="M20"/>
  <c r="Q17"/>
  <c r="S17"/>
  <c r="S18"/>
  <c r="Q18"/>
  <c r="O17"/>
  <c r="P19"/>
  <c r="R19"/>
  <c r="O13"/>
  <c r="P12"/>
  <c r="R12"/>
  <c r="Q13"/>
  <c r="S13"/>
  <c r="V12"/>
  <c r="U13"/>
  <c r="V13"/>
  <c r="U17"/>
  <c r="Y18"/>
  <c r="W18"/>
  <c r="V17"/>
  <c r="X17"/>
  <c r="V19"/>
  <c r="X19"/>
  <c r="E12"/>
  <c r="E14"/>
  <c r="G12"/>
  <c r="G14"/>
  <c r="F13"/>
  <c r="C14"/>
  <c r="D17"/>
  <c r="F17"/>
  <c r="C19"/>
  <c r="E19"/>
  <c r="G19"/>
  <c r="D21"/>
  <c r="F21"/>
  <c r="D13"/>
  <c r="D12"/>
  <c r="F12"/>
  <c r="C13"/>
  <c r="E13"/>
  <c r="G13"/>
  <c r="D14"/>
  <c r="F14"/>
  <c r="C17"/>
  <c r="E17"/>
  <c r="G17"/>
  <c r="AB18" l="1"/>
  <c r="I20"/>
  <c r="K18"/>
  <c r="AK18"/>
  <c r="K20"/>
  <c r="AG18"/>
  <c r="M19" i="4"/>
  <c r="M12"/>
  <c r="J14"/>
  <c r="K13"/>
  <c r="I13" i="1"/>
  <c r="D20"/>
  <c r="C22"/>
  <c r="I18"/>
  <c r="S20"/>
  <c r="D18"/>
  <c r="AE18"/>
  <c r="I17" i="4"/>
  <c r="J17"/>
  <c r="K21"/>
  <c r="I21"/>
  <c r="I19"/>
  <c r="M17"/>
  <c r="L14"/>
  <c r="I14"/>
  <c r="L21"/>
  <c r="F22"/>
  <c r="K22"/>
  <c r="I13"/>
  <c r="K17"/>
  <c r="M13"/>
  <c r="L19"/>
  <c r="L12"/>
  <c r="B15" i="6"/>
  <c r="B16" s="1"/>
  <c r="M21" i="4"/>
  <c r="K19"/>
  <c r="J13"/>
  <c r="K14"/>
  <c r="J12"/>
  <c r="J21"/>
  <c r="L17"/>
  <c r="X14" i="1"/>
  <c r="X13"/>
</calcChain>
</file>

<file path=xl/sharedStrings.xml><?xml version="1.0" encoding="utf-8"?>
<sst xmlns="http://schemas.openxmlformats.org/spreadsheetml/2006/main" count="385" uniqueCount="153">
  <si>
    <t>Система  С</t>
  </si>
  <si>
    <t>Система Н</t>
  </si>
  <si>
    <t>со шлегелем</t>
  </si>
  <si>
    <t>без шлегеля</t>
  </si>
  <si>
    <t>Высота двери</t>
  </si>
  <si>
    <t>Длина двери (2 двери)I-----____I</t>
  </si>
  <si>
    <t>Длина двери (3 двери)I-----____-----I</t>
  </si>
  <si>
    <t>Длина двери (4 двери)I-----____-----____I</t>
  </si>
  <si>
    <t>Длина двери (4 двери)I-----____  ____-----I</t>
  </si>
  <si>
    <t>Длина двери (5 дверей)I-----____-----____-----I</t>
  </si>
  <si>
    <t>Горизонталь верхняя</t>
  </si>
  <si>
    <t>Горизонталь нижняя</t>
  </si>
  <si>
    <t>Горизонталь средняя</t>
  </si>
  <si>
    <t>Направляющая верхняя</t>
  </si>
  <si>
    <t>Направляющая нижняя</t>
  </si>
  <si>
    <t>Размер заполнения ЛДСП  10мм</t>
  </si>
  <si>
    <t>Размер заполнения  8мм</t>
  </si>
  <si>
    <t>Размер заполнения  зеркало/стекло 4мм</t>
  </si>
  <si>
    <t>Введите высоту проема, мм:</t>
  </si>
  <si>
    <t>Введите ширину проема, мм:</t>
  </si>
  <si>
    <t>формулы</t>
  </si>
  <si>
    <t>2 дв.</t>
  </si>
  <si>
    <t>3 дв.</t>
  </si>
  <si>
    <t>4 дв.</t>
  </si>
  <si>
    <t>5 дв.</t>
  </si>
  <si>
    <t>Длина двери (4 двери)I-----____   ____-----I</t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</si>
  <si>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-40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</si>
  <si>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+15мм)/2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</si>
  <si>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+40мм)/3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</si>
  <si>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+65мм)/4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</si>
  <si>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+30мм)/4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</si>
  <si>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+90мм)/5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</si>
  <si>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-52мм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</si>
  <si>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</si>
  <si>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-36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</si>
  <si>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-57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</si>
  <si>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-38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</si>
  <si>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-59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</si>
  <si>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-39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</si>
  <si>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-60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</si>
  <si>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+25мм)/2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</si>
  <si>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+50мм)/3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</si>
  <si>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+75мм)/4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</si>
  <si>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+50мм)/4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</si>
  <si>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+100мм)/5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</si>
  <si>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+60мм)/3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</si>
  <si>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+95мм)/4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</si>
  <si>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+130мм)/5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</si>
  <si>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-70мм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</si>
  <si>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</si>
  <si>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-56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</si>
  <si>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-57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</si>
  <si>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+35мм)/2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</si>
  <si>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+70мм)/3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</si>
  <si>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+105мм)/4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</si>
  <si>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+70мм)/4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</si>
  <si>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+140мм)/5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</si>
  <si>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-35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</si>
  <si>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+26мм)/2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</si>
  <si>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+52мм)/3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</si>
  <si>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+78мм)/4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</si>
  <si>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+52мм)/4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</si>
  <si>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+104мм)/5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</si>
  <si>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-28мм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</si>
  <si>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-10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</si>
  <si>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-28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</si>
  <si>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-12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</si>
  <si>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-30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</si>
  <si>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-13</t>
    </r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</si>
  <si>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-31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</si>
  <si>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+20мм)/2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</si>
  <si>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+42мм)/3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</si>
  <si>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+63мм)/4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</si>
  <si>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+40мм)/4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</si>
  <si>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+84мм)/5</t>
    </r>
  </si>
  <si>
    <t>Ширина двери</t>
  </si>
  <si>
    <t>Горизонталь двери верхняя</t>
  </si>
  <si>
    <t>Горизонталь двери нижняя</t>
  </si>
  <si>
    <t>Горизонталь двери средняя</t>
  </si>
  <si>
    <t>Параметры двери</t>
  </si>
  <si>
    <t>Вертикальный профиль С</t>
  </si>
  <si>
    <t>Вертикальный профиль Н</t>
  </si>
  <si>
    <t>формула</t>
  </si>
  <si>
    <t>расчет</t>
  </si>
  <si>
    <t>Параметры одной двери</t>
  </si>
  <si>
    <r>
      <t>Н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-30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</si>
  <si>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-6</t>
    </r>
  </si>
  <si>
    <t>Вертикальный профиль О</t>
  </si>
  <si>
    <t>Вертикальный профиль I</t>
  </si>
  <si>
    <t>Система Е</t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</si>
  <si>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-62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</si>
  <si>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-64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</si>
  <si>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-78мм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</si>
  <si>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+40мм)/2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</si>
  <si>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+80мм)/3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</si>
  <si>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+120мм)/4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</si>
  <si>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+80мм)/4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</si>
  <si>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+160мм)/5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</si>
  <si>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+150мм)/5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</si>
  <si>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+60мм)/4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</si>
  <si>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+110мм)/4</t>
    </r>
  </si>
  <si>
    <r>
      <t>L</t>
    </r>
    <r>
      <rPr>
        <b/>
        <vertAlign val="subscript"/>
        <sz val="10"/>
        <color rgb="FFC00000"/>
        <rFont val="Calibri"/>
        <family val="2"/>
        <charset val="204"/>
        <scheme val="minor"/>
      </rPr>
      <t>дв</t>
    </r>
    <r>
      <rPr>
        <b/>
        <sz val="10"/>
        <color rgb="FFC00000"/>
        <rFont val="Calibri"/>
        <family val="2"/>
        <charset val="204"/>
        <scheme val="minor"/>
      </rPr>
      <t>=(L</t>
    </r>
    <r>
      <rPr>
        <b/>
        <vertAlign val="subscript"/>
        <sz val="10"/>
        <color rgb="FFC00000"/>
        <rFont val="Calibri"/>
        <family val="2"/>
        <charset val="204"/>
        <scheme val="minor"/>
      </rPr>
      <t>пр</t>
    </r>
    <r>
      <rPr>
        <b/>
        <sz val="10"/>
        <color rgb="FFC00000"/>
        <rFont val="Calibri"/>
        <family val="2"/>
        <charset val="204"/>
        <scheme val="minor"/>
      </rPr>
      <t>+30мм)/2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</si>
  <si>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дв</t>
    </r>
    <r>
      <rPr>
        <b/>
        <sz val="10"/>
        <color rgb="FF002060"/>
        <rFont val="Calibri"/>
        <family val="2"/>
        <charset val="204"/>
        <scheme val="minor"/>
      </rPr>
      <t>-59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</si>
  <si>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пр</t>
    </r>
    <r>
      <rPr>
        <b/>
        <sz val="10"/>
        <color rgb="FF002060"/>
        <rFont val="Calibri"/>
        <family val="2"/>
        <charset val="204"/>
        <scheme val="minor"/>
      </rPr>
      <t>-35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</si>
  <si>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дв</t>
    </r>
    <r>
      <rPr>
        <b/>
        <sz val="10"/>
        <color rgb="FF002060"/>
        <rFont val="Calibri"/>
        <family val="2"/>
        <charset val="204"/>
        <scheme val="minor"/>
      </rPr>
      <t>-61</t>
    </r>
  </si>
  <si>
    <r>
      <t>Н</t>
    </r>
    <r>
      <rPr>
        <b/>
        <vertAlign val="subscript"/>
        <sz val="10"/>
        <color rgb="FF002060"/>
        <rFont val="Calibri"/>
        <family val="2"/>
        <charset val="204"/>
        <scheme val="minor"/>
      </rPr>
      <t>дв</t>
    </r>
    <r>
      <rPr>
        <b/>
        <sz val="10"/>
        <color rgb="FF002060"/>
        <rFont val="Calibri"/>
        <family val="2"/>
        <charset val="204"/>
        <scheme val="minor"/>
      </rPr>
      <t>-62</t>
    </r>
  </si>
  <si>
    <t>Внимание! Отверстия в вертикальных профилях сверлить с учетом зеркального расположения профилей в двери.</t>
  </si>
  <si>
    <t>*размер отверстия Х зависит от диаметра шляпки сборочного винта. Диаметры отверстий: внутренний равен 5,5 мм; внешний равен 9 мм.</t>
  </si>
  <si>
    <r>
      <t xml:space="preserve">Просверлить отверстия в вертикальных профилях С и Н (идентичны). Расстояние от края профиля до центра отверстия равно </t>
    </r>
    <r>
      <rPr>
        <b/>
        <sz val="12"/>
        <color rgb="FF002060"/>
        <rFont val="Calibri"/>
        <family val="2"/>
        <charset val="204"/>
        <scheme val="minor"/>
      </rPr>
      <t>7,7 мм</t>
    </r>
    <r>
      <rPr>
        <sz val="11"/>
        <rFont val="Calibri"/>
        <family val="2"/>
        <charset val="204"/>
        <scheme val="minor"/>
      </rPr>
      <t xml:space="preserve">. Расстояние между центрами отверстия для сборочного винта и отверстия для регулировочного винта (ролик) равно </t>
    </r>
    <r>
      <rPr>
        <b/>
        <sz val="12"/>
        <color rgb="FF002060"/>
        <rFont val="Calibri"/>
        <family val="2"/>
        <charset val="204"/>
        <scheme val="minor"/>
      </rPr>
      <t>34 мм</t>
    </r>
    <r>
      <rPr>
        <sz val="11"/>
        <rFont val="Calibri"/>
        <family val="2"/>
        <charset val="204"/>
        <scheme val="minor"/>
      </rPr>
      <t>.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</si>
  <si>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</si>
  <si>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</si>
  <si>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</si>
  <si>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9 мм</t>
  </si>
  <si>
    <t>11 мм</t>
  </si>
  <si>
    <t>12 мм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</si>
  <si>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</si>
  <si>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</si>
  <si>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</si>
  <si>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10 мм</t>
  </si>
  <si>
    <t>10.5 мм</t>
  </si>
  <si>
    <t>11,5 мм</t>
  </si>
  <si>
    <t>Одна средняя рамка с саморезом «забирает» от высоты или ширины наполнения при возможных комбинациях</t>
  </si>
  <si>
    <t>шлегель</t>
  </si>
  <si>
    <t>ручка</t>
  </si>
  <si>
    <t>высота двери:</t>
  </si>
  <si>
    <t>ширина двери:</t>
  </si>
  <si>
    <t>C</t>
  </si>
  <si>
    <t>H</t>
  </si>
  <si>
    <t>проем</t>
  </si>
  <si>
    <t>высота</t>
  </si>
  <si>
    <t>ширина</t>
  </si>
  <si>
    <t>количество</t>
  </si>
  <si>
    <t>дверей</t>
  </si>
  <si>
    <t>вид</t>
  </si>
  <si>
    <t>параметр</t>
  </si>
  <si>
    <t>наличие</t>
  </si>
  <si>
    <t>по высоте</t>
  </si>
  <si>
    <t>по длине</t>
  </si>
  <si>
    <t>длина верхней направляющей:</t>
  </si>
  <si>
    <t>длина нижней направляющей:</t>
  </si>
  <si>
    <t>длина верхней рамки:</t>
  </si>
  <si>
    <t>длина нижней рамки:</t>
  </si>
  <si>
    <t>высота наполнения:</t>
  </si>
  <si>
    <t>ширина наполнения:</t>
  </si>
  <si>
    <t>размер</t>
  </si>
  <si>
    <t>показатель</t>
  </si>
  <si>
    <t>вариант</t>
  </si>
  <si>
    <t>нахлыстов</t>
  </si>
  <si>
    <t>наполнение и припуск</t>
  </si>
  <si>
    <t>толщина</t>
  </si>
  <si>
    <t>Полученные параметры двери:</t>
  </si>
  <si>
    <t>Исходные данные для расчета</t>
  </si>
  <si>
    <r>
      <t xml:space="preserve">В </t>
    </r>
    <r>
      <rPr>
        <b/>
        <u/>
        <sz val="12"/>
        <color rgb="FFFFFF00"/>
        <rFont val="Calibri"/>
        <family val="2"/>
        <charset val="204"/>
        <scheme val="minor"/>
      </rPr>
      <t>поля желтого цвета</t>
    </r>
    <r>
      <rPr>
        <sz val="11"/>
        <color rgb="FFFFFF00"/>
        <rFont val="Calibri"/>
        <family val="2"/>
        <charset val="204"/>
        <scheme val="minor"/>
      </rPr>
      <t xml:space="preserve"> введите исходные данные: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</si>
</sst>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&quot;р.&quot;"/>
    <numFmt numFmtId="166" formatCode="#,##0&quot; мм&quot;"/>
    <numFmt numFmtId="167" formatCode="0&quot; шт.&quot;"/>
    <numFmt numFmtId="168" formatCode="0&quot; мм&quot;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vertAlign val="subscript"/>
      <sz val="10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b/>
      <vertAlign val="subscript"/>
      <sz val="10"/>
      <color rgb="FF00206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u/>
      <sz val="12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0" fillId="0" borderId="9" xfId="0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3" borderId="2" xfId="0" applyFont="1" applyFill="1" applyBorder="1" applyAlignment="1">
      <alignment horizontal="right" vertical="center"/>
    </xf>
    <xf numFmtId="0" fontId="2" fillId="2" borderId="2" xfId="0" applyFont="1" applyFill="1" applyBorder="1"/>
    <xf numFmtId="0" fontId="0" fillId="4" borderId="2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0" borderId="1" xfId="0" applyBorder="1"/>
    <xf numFmtId="164" fontId="3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164" fontId="0" fillId="4" borderId="20" xfId="0" applyNumberFormat="1" applyFill="1" applyBorder="1" applyAlignment="1">
      <alignment vertical="center" wrapText="1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164" fontId="0" fillId="4" borderId="20" xfId="0" applyNumberFormat="1" applyFill="1" applyBorder="1" applyAlignment="1">
      <alignment vertical="center"/>
    </xf>
    <xf numFmtId="0" fontId="0" fillId="4" borderId="9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3" fillId="0" borderId="1" xfId="0" applyFont="1" applyBorder="1"/>
    <xf numFmtId="0" fontId="5" fillId="4" borderId="8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5" fontId="0" fillId="0" borderId="0" xfId="0" applyNumberFormat="1"/>
    <xf numFmtId="165" fontId="7" fillId="0" borderId="0" xfId="0" applyNumberFormat="1" applyFont="1"/>
    <xf numFmtId="0" fontId="0" fillId="4" borderId="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1" fontId="3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4" fillId="0" borderId="1" xfId="0" applyNumberFormat="1" applyFont="1" applyBorder="1" applyAlignment="1">
      <alignment vertical="center" wrapText="1"/>
    </xf>
    <xf numFmtId="1" fontId="0" fillId="4" borderId="20" xfId="0" applyNumberFormat="1" applyFill="1" applyBorder="1" applyAlignment="1">
      <alignment vertical="center" wrapText="1"/>
    </xf>
    <xf numFmtId="1" fontId="0" fillId="4" borderId="1" xfId="0" applyNumberForma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top" wrapText="1"/>
    </xf>
    <xf numFmtId="0" fontId="8" fillId="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167" fontId="18" fillId="0" borderId="12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166" fontId="20" fillId="2" borderId="9" xfId="0" applyNumberFormat="1" applyFont="1" applyFill="1" applyBorder="1" applyAlignment="1">
      <alignment vertical="center"/>
    </xf>
    <xf numFmtId="166" fontId="20" fillId="2" borderId="12" xfId="0" applyNumberFormat="1" applyFont="1" applyFill="1" applyBorder="1" applyAlignment="1">
      <alignment vertical="center"/>
    </xf>
    <xf numFmtId="166" fontId="21" fillId="3" borderId="10" xfId="0" applyNumberFormat="1" applyFont="1" applyFill="1" applyBorder="1" applyAlignment="1">
      <alignment horizontal="right" vertical="center"/>
    </xf>
    <xf numFmtId="166" fontId="21" fillId="3" borderId="12" xfId="0" applyNumberFormat="1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center" vertical="center"/>
    </xf>
    <xf numFmtId="168" fontId="21" fillId="3" borderId="32" xfId="0" applyNumberFormat="1" applyFont="1" applyFill="1" applyBorder="1" applyAlignment="1">
      <alignment horizontal="right" vertical="center"/>
    </xf>
    <xf numFmtId="167" fontId="21" fillId="3" borderId="10" xfId="0" applyNumberFormat="1" applyFont="1" applyFill="1" applyBorder="1" applyAlignment="1">
      <alignment horizontal="right" vertical="center"/>
    </xf>
    <xf numFmtId="165" fontId="21" fillId="3" borderId="32" xfId="0" applyNumberFormat="1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166" fontId="18" fillId="6" borderId="38" xfId="0" applyNumberFormat="1" applyFont="1" applyFill="1" applyBorder="1" applyAlignment="1">
      <alignment horizontal="right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166" fontId="18" fillId="6" borderId="45" xfId="0" applyNumberFormat="1" applyFont="1" applyFill="1" applyBorder="1" applyAlignment="1">
      <alignment horizontal="right" vertical="center"/>
    </xf>
    <xf numFmtId="166" fontId="18" fillId="6" borderId="46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4" borderId="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4" xfId="0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>
      <pane xSplit="1" topLeftCell="B1" activePane="topRight" state="frozen"/>
      <selection pane="topRight" activeCell="F1" sqref="F1:F1048576"/>
    </sheetView>
  </sheetViews>
  <sheetFormatPr defaultColWidth="8.85546875" defaultRowHeight="15"/>
  <cols>
    <col min="1" max="1" width="43.85546875" bestFit="1" customWidth="1"/>
    <col min="2" max="2" width="15" bestFit="1" customWidth="1"/>
    <col min="3" max="3" width="7.42578125" bestFit="1" customWidth="1"/>
    <col min="4" max="4" width="6.42578125" customWidth="1"/>
    <col min="5" max="5" width="9.7109375" bestFit="1" customWidth="1"/>
    <col min="6" max="6" width="7.28515625" bestFit="1" customWidth="1"/>
    <col min="7" max="7" width="6.42578125" customWidth="1"/>
    <col min="8" max="8" width="15.85546875" bestFit="1" customWidth="1"/>
    <col min="9" max="13" width="6.85546875" customWidth="1"/>
    <col min="14" max="14" width="15.85546875" bestFit="1" customWidth="1"/>
    <col min="15" max="15" width="7" bestFit="1" customWidth="1"/>
    <col min="16" max="16" width="7.42578125" bestFit="1" customWidth="1"/>
    <col min="17" max="17" width="8.28515625" bestFit="1" customWidth="1"/>
    <col min="18" max="18" width="7" bestFit="1" customWidth="1"/>
    <col min="19" max="19" width="6.85546875" bestFit="1" customWidth="1"/>
    <col min="20" max="20" width="15.85546875" bestFit="1" customWidth="1"/>
    <col min="21" max="23" width="7.28515625" bestFit="1" customWidth="1"/>
    <col min="24" max="24" width="6.140625" bestFit="1" customWidth="1"/>
    <col min="25" max="25" width="5.42578125" bestFit="1" customWidth="1"/>
    <col min="26" max="26" width="15.85546875" bestFit="1" customWidth="1"/>
    <col min="27" max="30" width="7.28515625" bestFit="1" customWidth="1"/>
    <col min="31" max="31" width="6.28515625" bestFit="1" customWidth="1"/>
    <col min="32" max="32" width="15.85546875" bestFit="1" customWidth="1"/>
    <col min="33" max="36" width="7.28515625" bestFit="1" customWidth="1"/>
    <col min="37" max="37" width="5.42578125" bestFit="1" customWidth="1"/>
  </cols>
  <sheetData>
    <row r="1" spans="1:37" ht="15.75">
      <c r="A1" s="8" t="s">
        <v>18</v>
      </c>
      <c r="B1" s="7">
        <v>2420</v>
      </c>
    </row>
    <row r="2" spans="1:37" ht="16.5" thickBot="1">
      <c r="A2" s="15" t="s">
        <v>19</v>
      </c>
      <c r="B2" s="16">
        <v>3010</v>
      </c>
    </row>
    <row r="3" spans="1:37" ht="16.5" thickBot="1">
      <c r="A3" s="127" t="s">
        <v>79</v>
      </c>
      <c r="B3" s="125" t="s"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14" t="s">
        <v>1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  <c r="Z3" s="114" t="s">
        <v>89</v>
      </c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6"/>
    </row>
    <row r="4" spans="1:37">
      <c r="A4" s="128"/>
      <c r="B4" s="123" t="s">
        <v>2</v>
      </c>
      <c r="C4" s="124"/>
      <c r="D4" s="124"/>
      <c r="E4" s="124"/>
      <c r="F4" s="124"/>
      <c r="G4" s="124"/>
      <c r="H4" s="123" t="s">
        <v>3</v>
      </c>
      <c r="I4" s="124"/>
      <c r="J4" s="124"/>
      <c r="K4" s="124"/>
      <c r="L4" s="124"/>
      <c r="M4" s="124"/>
      <c r="N4" s="117" t="s">
        <v>2</v>
      </c>
      <c r="O4" s="118"/>
      <c r="P4" s="118"/>
      <c r="Q4" s="118"/>
      <c r="R4" s="118"/>
      <c r="S4" s="119"/>
      <c r="T4" s="117" t="s">
        <v>3</v>
      </c>
      <c r="U4" s="118"/>
      <c r="V4" s="118"/>
      <c r="W4" s="118"/>
      <c r="X4" s="118"/>
      <c r="Y4" s="119"/>
      <c r="Z4" s="117" t="s">
        <v>2</v>
      </c>
      <c r="AA4" s="118"/>
      <c r="AB4" s="118"/>
      <c r="AC4" s="118"/>
      <c r="AD4" s="118"/>
      <c r="AE4" s="119"/>
      <c r="AF4" s="117" t="s">
        <v>3</v>
      </c>
      <c r="AG4" s="118"/>
      <c r="AH4" s="118"/>
      <c r="AI4" s="118"/>
      <c r="AJ4" s="118"/>
      <c r="AK4" s="119"/>
    </row>
    <row r="5" spans="1:37">
      <c r="A5" s="129"/>
      <c r="B5" s="49" t="s">
        <v>20</v>
      </c>
      <c r="C5" s="68" t="s">
        <v>21</v>
      </c>
      <c r="D5" s="3" t="s">
        <v>22</v>
      </c>
      <c r="E5" s="3" t="s">
        <v>23</v>
      </c>
      <c r="F5" s="3" t="s">
        <v>23</v>
      </c>
      <c r="G5" s="6" t="s">
        <v>24</v>
      </c>
      <c r="H5" s="49" t="s">
        <v>20</v>
      </c>
      <c r="I5" s="3" t="s">
        <v>21</v>
      </c>
      <c r="J5" s="3" t="s">
        <v>22</v>
      </c>
      <c r="K5" s="3" t="s">
        <v>23</v>
      </c>
      <c r="L5" s="3" t="s">
        <v>23</v>
      </c>
      <c r="M5" s="6" t="s">
        <v>24</v>
      </c>
      <c r="N5" s="49" t="s">
        <v>20</v>
      </c>
      <c r="O5" s="3" t="s">
        <v>21</v>
      </c>
      <c r="P5" s="3" t="s">
        <v>22</v>
      </c>
      <c r="Q5" s="3" t="s">
        <v>23</v>
      </c>
      <c r="R5" s="3" t="s">
        <v>23</v>
      </c>
      <c r="S5" s="10" t="s">
        <v>24</v>
      </c>
      <c r="T5" s="49" t="s">
        <v>20</v>
      </c>
      <c r="U5" s="3" t="s">
        <v>21</v>
      </c>
      <c r="V5" s="3" t="s">
        <v>22</v>
      </c>
      <c r="W5" s="3" t="s">
        <v>23</v>
      </c>
      <c r="X5" s="3" t="s">
        <v>23</v>
      </c>
      <c r="Y5" s="10" t="s">
        <v>24</v>
      </c>
      <c r="Z5" s="49" t="s">
        <v>20</v>
      </c>
      <c r="AA5" s="3" t="s">
        <v>21</v>
      </c>
      <c r="AB5" s="3" t="s">
        <v>22</v>
      </c>
      <c r="AC5" s="3" t="s">
        <v>23</v>
      </c>
      <c r="AD5" s="3" t="s">
        <v>23</v>
      </c>
      <c r="AE5" s="10" t="s">
        <v>24</v>
      </c>
      <c r="AF5" s="49" t="s">
        <v>20</v>
      </c>
      <c r="AG5" s="3" t="s">
        <v>21</v>
      </c>
      <c r="AH5" s="3" t="s">
        <v>22</v>
      </c>
      <c r="AI5" s="3" t="s">
        <v>23</v>
      </c>
      <c r="AJ5" s="3" t="s">
        <v>23</v>
      </c>
      <c r="AK5" s="10" t="s">
        <v>24</v>
      </c>
    </row>
    <row r="6" spans="1:37" ht="15.75">
      <c r="A6" s="9" t="s">
        <v>4</v>
      </c>
      <c r="B6" s="50" t="s">
        <v>26</v>
      </c>
      <c r="C6" s="69">
        <f>B1-40</f>
        <v>2380</v>
      </c>
      <c r="D6" s="4">
        <f>B1-40</f>
        <v>2380</v>
      </c>
      <c r="E6" s="4">
        <f>B1-40</f>
        <v>2380</v>
      </c>
      <c r="F6" s="4">
        <f>B1-40</f>
        <v>2380</v>
      </c>
      <c r="G6" s="14">
        <f>B1-40</f>
        <v>2380</v>
      </c>
      <c r="H6" s="50" t="s">
        <v>26</v>
      </c>
      <c r="I6" s="4">
        <f>$B1-40</f>
        <v>2380</v>
      </c>
      <c r="J6" s="4">
        <f>$B1-40</f>
        <v>2380</v>
      </c>
      <c r="K6" s="4">
        <f t="shared" ref="K6:M6" si="0">$B1-40</f>
        <v>2380</v>
      </c>
      <c r="L6" s="4">
        <f t="shared" si="0"/>
        <v>2380</v>
      </c>
      <c r="M6" s="14">
        <f t="shared" si="0"/>
        <v>2380</v>
      </c>
      <c r="N6" s="50" t="s">
        <v>26</v>
      </c>
      <c r="O6" s="4">
        <f>$B1-40</f>
        <v>2380</v>
      </c>
      <c r="P6" s="4">
        <f t="shared" ref="P6:S6" si="1">$B1-40</f>
        <v>2380</v>
      </c>
      <c r="Q6" s="4">
        <f t="shared" si="1"/>
        <v>2380</v>
      </c>
      <c r="R6" s="4">
        <f t="shared" si="1"/>
        <v>2380</v>
      </c>
      <c r="S6" s="11">
        <f t="shared" si="1"/>
        <v>2380</v>
      </c>
      <c r="T6" s="50" t="s">
        <v>26</v>
      </c>
      <c r="U6" s="4">
        <f>$B1-40</f>
        <v>2380</v>
      </c>
      <c r="V6" s="4">
        <f t="shared" ref="V6:Y6" si="2">$B1-40</f>
        <v>2380</v>
      </c>
      <c r="W6" s="4">
        <f t="shared" si="2"/>
        <v>2380</v>
      </c>
      <c r="X6" s="4">
        <f t="shared" si="2"/>
        <v>2380</v>
      </c>
      <c r="Y6" s="11">
        <f t="shared" si="2"/>
        <v>2380</v>
      </c>
      <c r="Z6" s="50" t="s">
        <v>26</v>
      </c>
      <c r="AA6" s="4">
        <f>$B1-40</f>
        <v>2380</v>
      </c>
      <c r="AB6" s="4">
        <f t="shared" ref="AB6:AE6" si="3">$B1-40</f>
        <v>2380</v>
      </c>
      <c r="AC6" s="4">
        <f t="shared" si="3"/>
        <v>2380</v>
      </c>
      <c r="AD6" s="4">
        <f t="shared" si="3"/>
        <v>2380</v>
      </c>
      <c r="AE6" s="11">
        <f t="shared" si="3"/>
        <v>2380</v>
      </c>
      <c r="AF6" s="50" t="s">
        <v>26</v>
      </c>
      <c r="AG6" s="4">
        <f>$B1-40</f>
        <v>2380</v>
      </c>
      <c r="AH6" s="4">
        <f t="shared" ref="AH6:AK6" si="4">$B1-40</f>
        <v>2380</v>
      </c>
      <c r="AI6" s="4">
        <f t="shared" si="4"/>
        <v>2380</v>
      </c>
      <c r="AJ6" s="4">
        <f t="shared" si="4"/>
        <v>2380</v>
      </c>
      <c r="AK6" s="11">
        <f t="shared" si="4"/>
        <v>2380</v>
      </c>
    </row>
    <row r="7" spans="1:37" ht="15.75">
      <c r="A7" s="5" t="s">
        <v>5</v>
      </c>
      <c r="B7" s="50" t="s">
        <v>27</v>
      </c>
      <c r="C7" s="69">
        <f>(B2+15)/2</f>
        <v>1512.5</v>
      </c>
      <c r="D7" s="1"/>
      <c r="E7" s="1"/>
      <c r="F7" s="1"/>
      <c r="G7" s="5"/>
      <c r="H7" s="50" t="s">
        <v>40</v>
      </c>
      <c r="I7" s="4">
        <f>($B2+25)/2</f>
        <v>1517.5</v>
      </c>
      <c r="J7" s="4"/>
      <c r="K7" s="1"/>
      <c r="L7" s="1"/>
      <c r="M7" s="5"/>
      <c r="N7" s="50" t="s">
        <v>40</v>
      </c>
      <c r="O7" s="4">
        <f>($B2+25)/2</f>
        <v>1517.5</v>
      </c>
      <c r="P7" s="1"/>
      <c r="Q7" s="1"/>
      <c r="R7" s="1"/>
      <c r="S7" s="12"/>
      <c r="T7" s="50" t="s">
        <v>52</v>
      </c>
      <c r="U7" s="4">
        <f>($B2+35)/2</f>
        <v>1522.5</v>
      </c>
      <c r="V7" s="1"/>
      <c r="W7" s="1"/>
      <c r="X7" s="1"/>
      <c r="Y7" s="12"/>
      <c r="Z7" s="50" t="s">
        <v>101</v>
      </c>
      <c r="AA7" s="4">
        <f>($B2+30)/2</f>
        <v>1520</v>
      </c>
      <c r="AB7" s="1"/>
      <c r="AC7" s="1"/>
      <c r="AD7" s="1"/>
      <c r="AE7" s="12"/>
      <c r="AF7" s="50" t="s">
        <v>93</v>
      </c>
      <c r="AG7" s="4">
        <f>($B2+40)/2</f>
        <v>1525</v>
      </c>
      <c r="AH7" s="1"/>
      <c r="AI7" s="1"/>
      <c r="AJ7" s="1"/>
      <c r="AK7" s="12"/>
    </row>
    <row r="8" spans="1:37" ht="15.75">
      <c r="A8" s="5" t="s">
        <v>6</v>
      </c>
      <c r="B8" s="50" t="s">
        <v>28</v>
      </c>
      <c r="C8" s="70"/>
      <c r="D8" s="4">
        <f>($B2+40)/3</f>
        <v>1016.6666666666666</v>
      </c>
      <c r="E8" s="1"/>
      <c r="F8" s="1"/>
      <c r="G8" s="5"/>
      <c r="H8" s="50" t="s">
        <v>41</v>
      </c>
      <c r="I8" s="1"/>
      <c r="J8" s="4">
        <f>($B2+50)/3</f>
        <v>1020</v>
      </c>
      <c r="K8" s="1"/>
      <c r="L8" s="1"/>
      <c r="M8" s="5"/>
      <c r="N8" s="50" t="s">
        <v>45</v>
      </c>
      <c r="O8" s="1"/>
      <c r="P8" s="22">
        <f>($B2+60)/3</f>
        <v>1023.3333333333334</v>
      </c>
      <c r="Q8" s="1"/>
      <c r="R8" s="1"/>
      <c r="S8" s="12"/>
      <c r="T8" s="50" t="s">
        <v>53</v>
      </c>
      <c r="U8" s="1"/>
      <c r="V8" s="22">
        <f>($B2+70)/3</f>
        <v>1026.6666666666667</v>
      </c>
      <c r="W8" s="1"/>
      <c r="X8" s="1"/>
      <c r="Y8" s="12"/>
      <c r="Z8" s="50" t="s">
        <v>53</v>
      </c>
      <c r="AA8" s="1"/>
      <c r="AB8" s="22">
        <f>($B2+70)/3</f>
        <v>1026.6666666666667</v>
      </c>
      <c r="AC8" s="1"/>
      <c r="AD8" s="1"/>
      <c r="AE8" s="12"/>
      <c r="AF8" s="50" t="s">
        <v>94</v>
      </c>
      <c r="AG8" s="1"/>
      <c r="AH8" s="22">
        <f>($B2+80)/3</f>
        <v>1030</v>
      </c>
      <c r="AI8" s="1"/>
      <c r="AJ8" s="1"/>
      <c r="AK8" s="12"/>
    </row>
    <row r="9" spans="1:37" ht="15.75">
      <c r="A9" s="5" t="s">
        <v>7</v>
      </c>
      <c r="B9" s="50" t="s">
        <v>29</v>
      </c>
      <c r="C9" s="70"/>
      <c r="D9" s="1"/>
      <c r="E9" s="4">
        <f>($B2+65)/4</f>
        <v>768.75</v>
      </c>
      <c r="F9" s="1"/>
      <c r="G9" s="5"/>
      <c r="H9" s="50" t="s">
        <v>42</v>
      </c>
      <c r="I9" s="1"/>
      <c r="J9" s="1"/>
      <c r="K9" s="4">
        <f>($B2+75)/4</f>
        <v>771.25</v>
      </c>
      <c r="L9" s="1"/>
      <c r="M9" s="5"/>
      <c r="N9" s="50" t="s">
        <v>46</v>
      </c>
      <c r="O9" s="1"/>
      <c r="P9" s="1"/>
      <c r="Q9" s="4">
        <f>($B2+95)/4</f>
        <v>776.25</v>
      </c>
      <c r="R9" s="1"/>
      <c r="S9" s="12"/>
      <c r="T9" s="50" t="s">
        <v>54</v>
      </c>
      <c r="U9" s="1"/>
      <c r="V9" s="1"/>
      <c r="W9" s="4">
        <f>($B2+105)/4</f>
        <v>778.75</v>
      </c>
      <c r="X9" s="1"/>
      <c r="Y9" s="12"/>
      <c r="Z9" s="50" t="s">
        <v>100</v>
      </c>
      <c r="AA9" s="1"/>
      <c r="AB9" s="1"/>
      <c r="AC9" s="4">
        <f>($B2+110)/4</f>
        <v>780</v>
      </c>
      <c r="AD9" s="1"/>
      <c r="AE9" s="12"/>
      <c r="AF9" s="50" t="s">
        <v>95</v>
      </c>
      <c r="AG9" s="1"/>
      <c r="AH9" s="1"/>
      <c r="AI9" s="4">
        <f>($B2+120)/4</f>
        <v>782.5</v>
      </c>
      <c r="AJ9" s="1"/>
      <c r="AK9" s="12"/>
    </row>
    <row r="10" spans="1:37" ht="15.75">
      <c r="A10" s="5" t="s">
        <v>8</v>
      </c>
      <c r="B10" s="50" t="s">
        <v>30</v>
      </c>
      <c r="C10" s="70"/>
      <c r="D10" s="1"/>
      <c r="E10" s="1"/>
      <c r="F10" s="4">
        <f>($B2+30)/4</f>
        <v>760</v>
      </c>
      <c r="G10" s="5"/>
      <c r="H10" s="50" t="s">
        <v>43</v>
      </c>
      <c r="I10" s="1"/>
      <c r="J10" s="1"/>
      <c r="K10" s="1"/>
      <c r="L10" s="4">
        <f>($B2+50)/4</f>
        <v>765</v>
      </c>
      <c r="M10" s="5"/>
      <c r="N10" s="50" t="s">
        <v>43</v>
      </c>
      <c r="O10" s="1"/>
      <c r="P10" s="1"/>
      <c r="Q10" s="1"/>
      <c r="R10" s="4">
        <f>($B2+50)/4</f>
        <v>765</v>
      </c>
      <c r="S10" s="12"/>
      <c r="T10" s="50" t="s">
        <v>55</v>
      </c>
      <c r="U10" s="1"/>
      <c r="V10" s="1"/>
      <c r="W10" s="1"/>
      <c r="X10" s="4">
        <f>($B2+70)/4</f>
        <v>770</v>
      </c>
      <c r="Y10" s="12"/>
      <c r="Z10" s="50" t="s">
        <v>99</v>
      </c>
      <c r="AA10" s="1"/>
      <c r="AB10" s="1"/>
      <c r="AC10" s="1"/>
      <c r="AD10" s="4">
        <f>($B2+60)/4</f>
        <v>767.5</v>
      </c>
      <c r="AE10" s="12"/>
      <c r="AF10" s="50" t="s">
        <v>96</v>
      </c>
      <c r="AG10" s="1"/>
      <c r="AH10" s="1"/>
      <c r="AI10" s="1"/>
      <c r="AJ10" s="4">
        <f>($B2+80)/4</f>
        <v>772.5</v>
      </c>
      <c r="AK10" s="12"/>
    </row>
    <row r="11" spans="1:37" ht="15.75">
      <c r="A11" s="5" t="s">
        <v>9</v>
      </c>
      <c r="B11" s="50" t="s">
        <v>31</v>
      </c>
      <c r="C11" s="70"/>
      <c r="D11" s="1"/>
      <c r="E11" s="1"/>
      <c r="F11" s="1"/>
      <c r="G11" s="14">
        <f>($B2+90)/5</f>
        <v>620</v>
      </c>
      <c r="H11" s="50" t="s">
        <v>44</v>
      </c>
      <c r="I11" s="1"/>
      <c r="J11" s="1"/>
      <c r="K11" s="1"/>
      <c r="L11" s="1"/>
      <c r="M11" s="14">
        <f>($B2+100)/5</f>
        <v>622</v>
      </c>
      <c r="N11" s="50" t="s">
        <v>47</v>
      </c>
      <c r="O11" s="1"/>
      <c r="P11" s="1"/>
      <c r="Q11" s="1"/>
      <c r="R11" s="1"/>
      <c r="S11" s="11">
        <f>($B2+130)/5</f>
        <v>628</v>
      </c>
      <c r="T11" s="50" t="s">
        <v>56</v>
      </c>
      <c r="U11" s="1"/>
      <c r="V11" s="1"/>
      <c r="W11" s="1"/>
      <c r="X11" s="1"/>
      <c r="Y11" s="11">
        <f>($B2+140)/5</f>
        <v>630</v>
      </c>
      <c r="Z11" s="50" t="s">
        <v>98</v>
      </c>
      <c r="AA11" s="1"/>
      <c r="AB11" s="1"/>
      <c r="AC11" s="1"/>
      <c r="AD11" s="1"/>
      <c r="AE11" s="11">
        <f>($B2+150)/5</f>
        <v>632</v>
      </c>
      <c r="AF11" s="50" t="s">
        <v>97</v>
      </c>
      <c r="AG11" s="1"/>
      <c r="AH11" s="1"/>
      <c r="AI11" s="1"/>
      <c r="AJ11" s="1"/>
      <c r="AK11" s="11">
        <f>($B2+160)/5</f>
        <v>634</v>
      </c>
    </row>
    <row r="12" spans="1:37">
      <c r="A12" s="5" t="s">
        <v>10</v>
      </c>
      <c r="B12" s="50" t="s">
        <v>32</v>
      </c>
      <c r="C12" s="70">
        <f>$C7-52</f>
        <v>1460.5</v>
      </c>
      <c r="D12" s="1">
        <f>D8-52</f>
        <v>964.66666666666663</v>
      </c>
      <c r="E12" s="1">
        <f>E9-52</f>
        <v>716.75</v>
      </c>
      <c r="F12" s="1">
        <f>F10-52</f>
        <v>708</v>
      </c>
      <c r="G12" s="5">
        <f>G11-52</f>
        <v>568</v>
      </c>
      <c r="H12" s="50" t="s">
        <v>32</v>
      </c>
      <c r="I12" s="1">
        <f>$I7-52</f>
        <v>1465.5</v>
      </c>
      <c r="J12" s="1">
        <f>J8-52</f>
        <v>968</v>
      </c>
      <c r="K12" s="1">
        <f>K9-52</f>
        <v>719.25</v>
      </c>
      <c r="L12" s="1">
        <f>L10-52</f>
        <v>713</v>
      </c>
      <c r="M12" s="5">
        <f>M11-52</f>
        <v>570</v>
      </c>
      <c r="N12" s="50" t="s">
        <v>48</v>
      </c>
      <c r="O12" s="1">
        <f>$O7-70</f>
        <v>1447.5</v>
      </c>
      <c r="P12" s="23">
        <f>P8-70</f>
        <v>953.33333333333337</v>
      </c>
      <c r="Q12" s="23">
        <f>Q9-70</f>
        <v>706.25</v>
      </c>
      <c r="R12" s="23">
        <f>R10-70</f>
        <v>695</v>
      </c>
      <c r="S12" s="23">
        <f>S11-70</f>
        <v>558</v>
      </c>
      <c r="T12" s="50" t="s">
        <v>48</v>
      </c>
      <c r="U12" s="2">
        <f>U7-70</f>
        <v>1452.5</v>
      </c>
      <c r="V12" s="24">
        <f>V8-70</f>
        <v>956.66666666666674</v>
      </c>
      <c r="W12" s="25">
        <f>W9-70</f>
        <v>708.75</v>
      </c>
      <c r="X12" s="25">
        <f>X10-70</f>
        <v>700</v>
      </c>
      <c r="Y12" s="26">
        <f>Y11-70</f>
        <v>560</v>
      </c>
      <c r="Z12" s="50" t="s">
        <v>92</v>
      </c>
      <c r="AA12" s="1">
        <f>$O7-78</f>
        <v>1439.5</v>
      </c>
      <c r="AB12" s="23">
        <f>AB8-78</f>
        <v>948.66666666666674</v>
      </c>
      <c r="AC12" s="23">
        <f>AC9-78</f>
        <v>702</v>
      </c>
      <c r="AD12" s="23">
        <f>AD10-78</f>
        <v>689.5</v>
      </c>
      <c r="AE12" s="23">
        <f>AE11-78</f>
        <v>554</v>
      </c>
      <c r="AF12" s="50" t="s">
        <v>92</v>
      </c>
      <c r="AG12" s="2">
        <f>AG7-78</f>
        <v>1447</v>
      </c>
      <c r="AH12" s="24">
        <f>AH8-78</f>
        <v>952</v>
      </c>
      <c r="AI12" s="25">
        <f>AI9-78</f>
        <v>704.5</v>
      </c>
      <c r="AJ12" s="25">
        <f>AJ10-78</f>
        <v>694.5</v>
      </c>
      <c r="AK12" s="26">
        <f>AK11-78</f>
        <v>556</v>
      </c>
    </row>
    <row r="13" spans="1:37">
      <c r="A13" s="5" t="s">
        <v>11</v>
      </c>
      <c r="B13" s="50" t="s">
        <v>32</v>
      </c>
      <c r="C13" s="70">
        <f>C7-52</f>
        <v>1460.5</v>
      </c>
      <c r="D13" s="1">
        <f>D8-52</f>
        <v>964.66666666666663</v>
      </c>
      <c r="E13" s="1">
        <f>E9-52</f>
        <v>716.75</v>
      </c>
      <c r="F13" s="1">
        <f>F10-52</f>
        <v>708</v>
      </c>
      <c r="G13" s="5">
        <f>G11-52</f>
        <v>568</v>
      </c>
      <c r="H13" s="50" t="s">
        <v>32</v>
      </c>
      <c r="I13" s="1">
        <f>I7-52</f>
        <v>1465.5</v>
      </c>
      <c r="J13" s="1">
        <f>J8-52</f>
        <v>968</v>
      </c>
      <c r="K13" s="1">
        <f>K9-52</f>
        <v>719.25</v>
      </c>
      <c r="L13" s="1">
        <f>L10-52</f>
        <v>713</v>
      </c>
      <c r="M13" s="5">
        <f>M11-52</f>
        <v>570</v>
      </c>
      <c r="N13" s="50" t="s">
        <v>48</v>
      </c>
      <c r="O13" s="1">
        <f>$O7-70</f>
        <v>1447.5</v>
      </c>
      <c r="P13" s="23">
        <f>P8-70</f>
        <v>953.33333333333337</v>
      </c>
      <c r="Q13" s="23">
        <f>Q9-70</f>
        <v>706.25</v>
      </c>
      <c r="R13" s="23">
        <f>R10-70</f>
        <v>695</v>
      </c>
      <c r="S13" s="23">
        <f>S11-70</f>
        <v>558</v>
      </c>
      <c r="T13" s="50" t="s">
        <v>48</v>
      </c>
      <c r="U13" s="2">
        <f>U7-70</f>
        <v>1452.5</v>
      </c>
      <c r="V13" s="24">
        <f>V8-70</f>
        <v>956.66666666666674</v>
      </c>
      <c r="W13" s="25">
        <f>W9-70</f>
        <v>708.75</v>
      </c>
      <c r="X13" s="25">
        <f>X10-70</f>
        <v>700</v>
      </c>
      <c r="Y13" s="26">
        <f>Y11-70</f>
        <v>560</v>
      </c>
      <c r="Z13" s="50" t="s">
        <v>92</v>
      </c>
      <c r="AA13" s="1">
        <f>$O7-78</f>
        <v>1439.5</v>
      </c>
      <c r="AB13" s="23">
        <f>AB8-78</f>
        <v>948.66666666666674</v>
      </c>
      <c r="AC13" s="23">
        <f>AC9-78</f>
        <v>702</v>
      </c>
      <c r="AD13" s="23">
        <f>AD10-78</f>
        <v>689.5</v>
      </c>
      <c r="AE13" s="23">
        <f>AE11-78</f>
        <v>554</v>
      </c>
      <c r="AF13" s="50" t="s">
        <v>92</v>
      </c>
      <c r="AG13" s="2">
        <f>AG7-78</f>
        <v>1447</v>
      </c>
      <c r="AH13" s="24">
        <f>AH8-78</f>
        <v>952</v>
      </c>
      <c r="AI13" s="25">
        <f>AI9-78</f>
        <v>704.5</v>
      </c>
      <c r="AJ13" s="25">
        <f>AJ10-78</f>
        <v>694.5</v>
      </c>
      <c r="AK13" s="26">
        <f>AK11-78</f>
        <v>556</v>
      </c>
    </row>
    <row r="14" spans="1:37">
      <c r="A14" s="5" t="s">
        <v>12</v>
      </c>
      <c r="B14" s="50" t="s">
        <v>32</v>
      </c>
      <c r="C14" s="70">
        <f>C7-52</f>
        <v>1460.5</v>
      </c>
      <c r="D14" s="1">
        <f>D8-52</f>
        <v>964.66666666666663</v>
      </c>
      <c r="E14" s="1">
        <f>E9-52</f>
        <v>716.75</v>
      </c>
      <c r="F14" s="1">
        <f>F10-52</f>
        <v>708</v>
      </c>
      <c r="G14" s="5">
        <f>G11-52</f>
        <v>568</v>
      </c>
      <c r="H14" s="50" t="s">
        <v>32</v>
      </c>
      <c r="I14" s="1">
        <f>I7-52</f>
        <v>1465.5</v>
      </c>
      <c r="J14" s="1">
        <f>J8-52</f>
        <v>968</v>
      </c>
      <c r="K14" s="1">
        <f>K9-52</f>
        <v>719.25</v>
      </c>
      <c r="L14" s="1">
        <f>L10-52</f>
        <v>713</v>
      </c>
      <c r="M14" s="5">
        <f>M11-52</f>
        <v>570</v>
      </c>
      <c r="N14" s="50" t="s">
        <v>48</v>
      </c>
      <c r="O14" s="1">
        <f>$O7-70</f>
        <v>1447.5</v>
      </c>
      <c r="P14" s="23">
        <f>P8-70</f>
        <v>953.33333333333337</v>
      </c>
      <c r="Q14" s="23">
        <f>Q9-70</f>
        <v>706.25</v>
      </c>
      <c r="R14" s="23">
        <f>R10-70</f>
        <v>695</v>
      </c>
      <c r="S14" s="23">
        <f>S11-70</f>
        <v>558</v>
      </c>
      <c r="T14" s="50" t="s">
        <v>48</v>
      </c>
      <c r="U14" s="2">
        <f>U7-70</f>
        <v>1452.5</v>
      </c>
      <c r="V14" s="24">
        <f>V8-70</f>
        <v>956.66666666666674</v>
      </c>
      <c r="W14" s="25">
        <f>W9-70</f>
        <v>708.75</v>
      </c>
      <c r="X14" s="25">
        <f>X10-70</f>
        <v>700</v>
      </c>
      <c r="Y14" s="26">
        <f>Y11-70</f>
        <v>560</v>
      </c>
      <c r="Z14" s="50" t="s">
        <v>92</v>
      </c>
      <c r="AA14" s="1">
        <f>$O7-78</f>
        <v>1439.5</v>
      </c>
      <c r="AB14" s="23">
        <f>AB8-78</f>
        <v>948.66666666666674</v>
      </c>
      <c r="AC14" s="23">
        <f>AC9-78</f>
        <v>702</v>
      </c>
      <c r="AD14" s="23">
        <f>AD10-78</f>
        <v>689.5</v>
      </c>
      <c r="AE14" s="23">
        <f>AE11-78</f>
        <v>554</v>
      </c>
      <c r="AF14" s="50" t="s">
        <v>92</v>
      </c>
      <c r="AG14" s="2">
        <f>AG7-78</f>
        <v>1447</v>
      </c>
      <c r="AH14" s="24">
        <f>AH8-78</f>
        <v>952</v>
      </c>
      <c r="AI14" s="25">
        <f>AI9-78</f>
        <v>704.5</v>
      </c>
      <c r="AJ14" s="25">
        <f>AJ10-78</f>
        <v>694.5</v>
      </c>
      <c r="AK14" s="26">
        <f>AK11-78</f>
        <v>556</v>
      </c>
    </row>
    <row r="15" spans="1:37" s="31" customFormat="1">
      <c r="A15" s="27" t="s">
        <v>13</v>
      </c>
      <c r="B15" s="51" t="s">
        <v>33</v>
      </c>
      <c r="C15" s="71">
        <f>$B2</f>
        <v>3010</v>
      </c>
      <c r="D15" s="28">
        <f t="shared" ref="D15:G15" si="5">$B2</f>
        <v>3010</v>
      </c>
      <c r="E15" s="28">
        <f t="shared" si="5"/>
        <v>3010</v>
      </c>
      <c r="F15" s="28">
        <f t="shared" si="5"/>
        <v>3010</v>
      </c>
      <c r="G15" s="29">
        <f t="shared" si="5"/>
        <v>3010</v>
      </c>
      <c r="H15" s="51" t="s">
        <v>33</v>
      </c>
      <c r="I15" s="28">
        <f>$B2</f>
        <v>3010</v>
      </c>
      <c r="J15" s="28">
        <f t="shared" ref="J15:M15" si="6">$B2</f>
        <v>3010</v>
      </c>
      <c r="K15" s="28">
        <f t="shared" si="6"/>
        <v>3010</v>
      </c>
      <c r="L15" s="28">
        <f t="shared" si="6"/>
        <v>3010</v>
      </c>
      <c r="M15" s="29">
        <f t="shared" si="6"/>
        <v>3010</v>
      </c>
      <c r="N15" s="51" t="s">
        <v>33</v>
      </c>
      <c r="O15" s="28">
        <f>$B2</f>
        <v>3010</v>
      </c>
      <c r="P15" s="28">
        <f t="shared" ref="P15:S15" si="7">$B2</f>
        <v>3010</v>
      </c>
      <c r="Q15" s="28">
        <f t="shared" si="7"/>
        <v>3010</v>
      </c>
      <c r="R15" s="28">
        <f t="shared" si="7"/>
        <v>3010</v>
      </c>
      <c r="S15" s="30">
        <f t="shared" si="7"/>
        <v>3010</v>
      </c>
      <c r="T15" s="51" t="s">
        <v>33</v>
      </c>
      <c r="U15" s="28">
        <f>$B2</f>
        <v>3010</v>
      </c>
      <c r="V15" s="28">
        <f t="shared" ref="V15:Y15" si="8">$B2</f>
        <v>3010</v>
      </c>
      <c r="W15" s="28">
        <f t="shared" si="8"/>
        <v>3010</v>
      </c>
      <c r="X15" s="28">
        <f t="shared" si="8"/>
        <v>3010</v>
      </c>
      <c r="Y15" s="30">
        <f t="shared" si="8"/>
        <v>3010</v>
      </c>
      <c r="Z15" s="51" t="s">
        <v>33</v>
      </c>
      <c r="AA15" s="28">
        <f>$B2</f>
        <v>3010</v>
      </c>
      <c r="AB15" s="28">
        <f t="shared" ref="AB15:AE15" si="9">$B2</f>
        <v>3010</v>
      </c>
      <c r="AC15" s="28">
        <f t="shared" si="9"/>
        <v>3010</v>
      </c>
      <c r="AD15" s="28">
        <f t="shared" si="9"/>
        <v>3010</v>
      </c>
      <c r="AE15" s="30">
        <f t="shared" si="9"/>
        <v>3010</v>
      </c>
      <c r="AF15" s="51" t="s">
        <v>33</v>
      </c>
      <c r="AG15" s="28">
        <f>$B2</f>
        <v>3010</v>
      </c>
      <c r="AH15" s="28">
        <f t="shared" ref="AH15:AK15" si="10">$B2</f>
        <v>3010</v>
      </c>
      <c r="AI15" s="28">
        <f t="shared" si="10"/>
        <v>3010</v>
      </c>
      <c r="AJ15" s="28">
        <f t="shared" si="10"/>
        <v>3010</v>
      </c>
      <c r="AK15" s="30">
        <f t="shared" si="10"/>
        <v>3010</v>
      </c>
    </row>
    <row r="16" spans="1:37" s="31" customFormat="1" ht="15.75" thickBot="1">
      <c r="A16" s="32" t="s">
        <v>14</v>
      </c>
      <c r="B16" s="52" t="s">
        <v>33</v>
      </c>
      <c r="C16" s="72">
        <f>$B2</f>
        <v>3010</v>
      </c>
      <c r="D16" s="33">
        <f t="shared" ref="D16:G16" si="11">$B2</f>
        <v>3010</v>
      </c>
      <c r="E16" s="33">
        <f t="shared" si="11"/>
        <v>3010</v>
      </c>
      <c r="F16" s="33">
        <f t="shared" si="11"/>
        <v>3010</v>
      </c>
      <c r="G16" s="34">
        <f t="shared" si="11"/>
        <v>3010</v>
      </c>
      <c r="H16" s="52" t="s">
        <v>33</v>
      </c>
      <c r="I16" s="33">
        <f>$B2</f>
        <v>3010</v>
      </c>
      <c r="J16" s="33">
        <f t="shared" ref="J16:M16" si="12">$B2</f>
        <v>3010</v>
      </c>
      <c r="K16" s="33">
        <f t="shared" si="12"/>
        <v>3010</v>
      </c>
      <c r="L16" s="33">
        <f t="shared" si="12"/>
        <v>3010</v>
      </c>
      <c r="M16" s="34">
        <f t="shared" si="12"/>
        <v>3010</v>
      </c>
      <c r="N16" s="52" t="s">
        <v>33</v>
      </c>
      <c r="O16" s="33">
        <f>$B2</f>
        <v>3010</v>
      </c>
      <c r="P16" s="33">
        <f t="shared" ref="P16:S16" si="13">$B2</f>
        <v>3010</v>
      </c>
      <c r="Q16" s="33">
        <f t="shared" si="13"/>
        <v>3010</v>
      </c>
      <c r="R16" s="33">
        <f t="shared" si="13"/>
        <v>3010</v>
      </c>
      <c r="S16" s="35">
        <f t="shared" si="13"/>
        <v>3010</v>
      </c>
      <c r="T16" s="52" t="s">
        <v>33</v>
      </c>
      <c r="U16" s="33">
        <f>$B2</f>
        <v>3010</v>
      </c>
      <c r="V16" s="33">
        <f t="shared" ref="V16:Y16" si="14">$B2</f>
        <v>3010</v>
      </c>
      <c r="W16" s="33">
        <f t="shared" si="14"/>
        <v>3010</v>
      </c>
      <c r="X16" s="33">
        <f t="shared" si="14"/>
        <v>3010</v>
      </c>
      <c r="Y16" s="35">
        <f t="shared" si="14"/>
        <v>3010</v>
      </c>
      <c r="Z16" s="52" t="s">
        <v>33</v>
      </c>
      <c r="AA16" s="33">
        <f>$B2</f>
        <v>3010</v>
      </c>
      <c r="AB16" s="33">
        <f t="shared" ref="AB16:AE16" si="15">$B2</f>
        <v>3010</v>
      </c>
      <c r="AC16" s="33">
        <f t="shared" si="15"/>
        <v>3010</v>
      </c>
      <c r="AD16" s="33">
        <f t="shared" si="15"/>
        <v>3010</v>
      </c>
      <c r="AE16" s="35">
        <f t="shared" si="15"/>
        <v>3010</v>
      </c>
      <c r="AF16" s="52" t="s">
        <v>33</v>
      </c>
      <c r="AG16" s="33">
        <f>$B2</f>
        <v>3010</v>
      </c>
      <c r="AH16" s="33">
        <f t="shared" ref="AH16:AK16" si="16">$B2</f>
        <v>3010</v>
      </c>
      <c r="AI16" s="33">
        <f t="shared" si="16"/>
        <v>3010</v>
      </c>
      <c r="AJ16" s="33">
        <f t="shared" si="16"/>
        <v>3010</v>
      </c>
      <c r="AK16" s="35">
        <f t="shared" si="16"/>
        <v>3010</v>
      </c>
    </row>
    <row r="17" spans="1:37" s="31" customFormat="1">
      <c r="A17" s="122" t="s">
        <v>15</v>
      </c>
      <c r="B17" s="53" t="s">
        <v>34</v>
      </c>
      <c r="C17" s="36">
        <f>C7-36</f>
        <v>1476.5</v>
      </c>
      <c r="D17" s="36">
        <f>D8-36</f>
        <v>980.66666666666663</v>
      </c>
      <c r="E17" s="36">
        <f>E9-36</f>
        <v>732.75</v>
      </c>
      <c r="F17" s="36">
        <f>F10-36</f>
        <v>724</v>
      </c>
      <c r="G17" s="37">
        <f>G11-36</f>
        <v>584</v>
      </c>
      <c r="H17" s="53" t="s">
        <v>34</v>
      </c>
      <c r="I17" s="36">
        <f>I7-36</f>
        <v>1481.5</v>
      </c>
      <c r="J17" s="36">
        <f>J8-36</f>
        <v>984</v>
      </c>
      <c r="K17" s="36">
        <f>K9-36</f>
        <v>735.25</v>
      </c>
      <c r="L17" s="36">
        <f>L10-36</f>
        <v>729</v>
      </c>
      <c r="M17" s="37">
        <f>M11-36</f>
        <v>586</v>
      </c>
      <c r="N17" s="53" t="s">
        <v>49</v>
      </c>
      <c r="O17" s="36">
        <f>$O7-54</f>
        <v>1463.5</v>
      </c>
      <c r="P17" s="38">
        <f>P8-54</f>
        <v>969.33333333333337</v>
      </c>
      <c r="Q17" s="38">
        <f>Q9-54</f>
        <v>722.25</v>
      </c>
      <c r="R17" s="38">
        <f>R10-54</f>
        <v>711</v>
      </c>
      <c r="S17" s="38">
        <f>S11-54</f>
        <v>574</v>
      </c>
      <c r="T17" s="53" t="s">
        <v>49</v>
      </c>
      <c r="U17" s="36">
        <f>U7-54</f>
        <v>1468.5</v>
      </c>
      <c r="V17" s="46">
        <f>V8-54</f>
        <v>972.66666666666674</v>
      </c>
      <c r="W17" s="39">
        <f>W9-54</f>
        <v>724.75</v>
      </c>
      <c r="X17" s="39">
        <f>X10-54</f>
        <v>716</v>
      </c>
      <c r="Y17" s="40">
        <f>Y11-54</f>
        <v>576</v>
      </c>
      <c r="Z17" s="53" t="s">
        <v>90</v>
      </c>
      <c r="AA17" s="36">
        <f>$O7-62</f>
        <v>1455.5</v>
      </c>
      <c r="AB17" s="38">
        <f>AB8-62</f>
        <v>964.66666666666674</v>
      </c>
      <c r="AC17" s="38">
        <f>AC9-62</f>
        <v>718</v>
      </c>
      <c r="AD17" s="38">
        <f>AD10-62</f>
        <v>705.5</v>
      </c>
      <c r="AE17" s="38">
        <f>AE11-62</f>
        <v>570</v>
      </c>
      <c r="AF17" s="53" t="s">
        <v>90</v>
      </c>
      <c r="AG17" s="36">
        <f>AG7-62</f>
        <v>1463</v>
      </c>
      <c r="AH17" s="46">
        <f>AH8-62</f>
        <v>968</v>
      </c>
      <c r="AI17" s="39">
        <f>AI9-62</f>
        <v>720.5</v>
      </c>
      <c r="AJ17" s="39">
        <f>AJ10-62</f>
        <v>710.5</v>
      </c>
      <c r="AK17" s="40">
        <f>AK11-62</f>
        <v>572</v>
      </c>
    </row>
    <row r="18" spans="1:37" s="31" customFormat="1">
      <c r="A18" s="120"/>
      <c r="B18" s="54" t="s">
        <v>35</v>
      </c>
      <c r="C18" s="41">
        <f>C6-57</f>
        <v>2323</v>
      </c>
      <c r="D18" s="41">
        <f t="shared" ref="D18:G18" si="17">D6-57</f>
        <v>2323</v>
      </c>
      <c r="E18" s="41">
        <f t="shared" si="17"/>
        <v>2323</v>
      </c>
      <c r="F18" s="41">
        <f t="shared" si="17"/>
        <v>2323</v>
      </c>
      <c r="G18" s="42">
        <f t="shared" si="17"/>
        <v>2323</v>
      </c>
      <c r="H18" s="54" t="s">
        <v>35</v>
      </c>
      <c r="I18" s="41">
        <f>I6-57</f>
        <v>2323</v>
      </c>
      <c r="J18" s="41">
        <f t="shared" ref="J18:M18" si="18">J6-57</f>
        <v>2323</v>
      </c>
      <c r="K18" s="41">
        <f t="shared" si="18"/>
        <v>2323</v>
      </c>
      <c r="L18" s="41">
        <f t="shared" si="18"/>
        <v>2323</v>
      </c>
      <c r="M18" s="42">
        <f t="shared" si="18"/>
        <v>2323</v>
      </c>
      <c r="N18" s="54" t="s">
        <v>35</v>
      </c>
      <c r="O18" s="41">
        <f>O6-57</f>
        <v>2323</v>
      </c>
      <c r="P18" s="41">
        <f t="shared" ref="P18:S18" si="19">P6-57</f>
        <v>2323</v>
      </c>
      <c r="Q18" s="41">
        <f t="shared" si="19"/>
        <v>2323</v>
      </c>
      <c r="R18" s="41">
        <f t="shared" si="19"/>
        <v>2323</v>
      </c>
      <c r="S18" s="41">
        <f t="shared" si="19"/>
        <v>2323</v>
      </c>
      <c r="T18" s="54" t="s">
        <v>35</v>
      </c>
      <c r="U18" s="41">
        <f>U6-57</f>
        <v>2323</v>
      </c>
      <c r="V18" s="41">
        <f t="shared" ref="V18:Y18" si="20">V6-57</f>
        <v>2323</v>
      </c>
      <c r="W18" s="41">
        <f t="shared" si="20"/>
        <v>2323</v>
      </c>
      <c r="X18" s="41">
        <f t="shared" si="20"/>
        <v>2323</v>
      </c>
      <c r="Y18" s="47">
        <f t="shared" si="20"/>
        <v>2323</v>
      </c>
      <c r="Z18" s="54" t="s">
        <v>35</v>
      </c>
      <c r="AA18" s="41">
        <f>AA6-57</f>
        <v>2323</v>
      </c>
      <c r="AB18" s="41">
        <f t="shared" ref="AB18:AE18" si="21">AB6-57</f>
        <v>2323</v>
      </c>
      <c r="AC18" s="41">
        <f t="shared" si="21"/>
        <v>2323</v>
      </c>
      <c r="AD18" s="41">
        <f t="shared" si="21"/>
        <v>2323</v>
      </c>
      <c r="AE18" s="41">
        <f t="shared" si="21"/>
        <v>2323</v>
      </c>
      <c r="AF18" s="54" t="s">
        <v>35</v>
      </c>
      <c r="AG18" s="41">
        <f>AG6-57</f>
        <v>2323</v>
      </c>
      <c r="AH18" s="41">
        <f t="shared" ref="AH18:AK18" si="22">AH6-57</f>
        <v>2323</v>
      </c>
      <c r="AI18" s="41">
        <f t="shared" si="22"/>
        <v>2323</v>
      </c>
      <c r="AJ18" s="41">
        <f t="shared" si="22"/>
        <v>2323</v>
      </c>
      <c r="AK18" s="47">
        <f t="shared" si="22"/>
        <v>2323</v>
      </c>
    </row>
    <row r="19" spans="1:37" s="31" customFormat="1">
      <c r="A19" s="120" t="s">
        <v>16</v>
      </c>
      <c r="B19" s="54" t="s">
        <v>36</v>
      </c>
      <c r="C19" s="41">
        <f>C7-38</f>
        <v>1474.5</v>
      </c>
      <c r="D19" s="41">
        <f>D8-38</f>
        <v>978.66666666666663</v>
      </c>
      <c r="E19" s="41">
        <f>E9-38</f>
        <v>730.75</v>
      </c>
      <c r="F19" s="41">
        <f>F10-38</f>
        <v>722</v>
      </c>
      <c r="G19" s="42">
        <f>G11-38</f>
        <v>582</v>
      </c>
      <c r="H19" s="54" t="s">
        <v>36</v>
      </c>
      <c r="I19" s="41">
        <f>I7-38</f>
        <v>1479.5</v>
      </c>
      <c r="J19" s="41">
        <f>J8-38</f>
        <v>982</v>
      </c>
      <c r="K19" s="41">
        <f>K9-38</f>
        <v>733.25</v>
      </c>
      <c r="L19" s="41">
        <f>L10-38</f>
        <v>727</v>
      </c>
      <c r="M19" s="42">
        <f>M11-38</f>
        <v>584</v>
      </c>
      <c r="N19" s="54" t="s">
        <v>50</v>
      </c>
      <c r="O19" s="41">
        <f>O7-56</f>
        <v>1461.5</v>
      </c>
      <c r="P19" s="43">
        <f>P8-56</f>
        <v>967.33333333333337</v>
      </c>
      <c r="Q19" s="41">
        <f>Q9-56</f>
        <v>720.25</v>
      </c>
      <c r="R19" s="41">
        <f>R10-56</f>
        <v>709</v>
      </c>
      <c r="S19" s="41">
        <f>S11-56</f>
        <v>572</v>
      </c>
      <c r="T19" s="54" t="s">
        <v>50</v>
      </c>
      <c r="U19" s="41">
        <f>U7-56</f>
        <v>1466.5</v>
      </c>
      <c r="V19" s="43">
        <f>V8-56</f>
        <v>970.66666666666674</v>
      </c>
      <c r="W19" s="41">
        <f>W9-56</f>
        <v>722.75</v>
      </c>
      <c r="X19" s="41">
        <f>X10-56</f>
        <v>714</v>
      </c>
      <c r="Y19" s="47">
        <f>Y11-56</f>
        <v>574</v>
      </c>
      <c r="Z19" s="54"/>
      <c r="AA19" s="41"/>
      <c r="AB19" s="43"/>
      <c r="AC19" s="41"/>
      <c r="AD19" s="41"/>
      <c r="AE19" s="41"/>
      <c r="AF19" s="54"/>
      <c r="AG19" s="41"/>
      <c r="AH19" s="43"/>
      <c r="AI19" s="41"/>
      <c r="AJ19" s="41"/>
      <c r="AK19" s="47"/>
    </row>
    <row r="20" spans="1:37" s="31" customFormat="1">
      <c r="A20" s="120"/>
      <c r="B20" s="54" t="s">
        <v>37</v>
      </c>
      <c r="C20" s="41">
        <f>C6-59</f>
        <v>2321</v>
      </c>
      <c r="D20" s="41">
        <f t="shared" ref="D20:G20" si="23">D6-59</f>
        <v>2321</v>
      </c>
      <c r="E20" s="41">
        <f t="shared" si="23"/>
        <v>2321</v>
      </c>
      <c r="F20" s="41">
        <f t="shared" si="23"/>
        <v>2321</v>
      </c>
      <c r="G20" s="42">
        <f t="shared" si="23"/>
        <v>2321</v>
      </c>
      <c r="H20" s="54" t="s">
        <v>37</v>
      </c>
      <c r="I20" s="41">
        <f>I6-59</f>
        <v>2321</v>
      </c>
      <c r="J20" s="41">
        <f t="shared" ref="J20:M20" si="24">J6-59</f>
        <v>2321</v>
      </c>
      <c r="K20" s="41">
        <f t="shared" si="24"/>
        <v>2321</v>
      </c>
      <c r="L20" s="41">
        <f t="shared" si="24"/>
        <v>2321</v>
      </c>
      <c r="M20" s="42">
        <f t="shared" si="24"/>
        <v>2321</v>
      </c>
      <c r="N20" s="54" t="s">
        <v>37</v>
      </c>
      <c r="O20" s="41">
        <f>O6-59</f>
        <v>2321</v>
      </c>
      <c r="P20" s="41">
        <f t="shared" ref="P20:S20" si="25">P6-59</f>
        <v>2321</v>
      </c>
      <c r="Q20" s="41">
        <f t="shared" si="25"/>
        <v>2321</v>
      </c>
      <c r="R20" s="41">
        <f t="shared" si="25"/>
        <v>2321</v>
      </c>
      <c r="S20" s="41">
        <f t="shared" si="25"/>
        <v>2321</v>
      </c>
      <c r="T20" s="54" t="s">
        <v>37</v>
      </c>
      <c r="U20" s="41">
        <f>U6-59</f>
        <v>2321</v>
      </c>
      <c r="V20" s="41">
        <f t="shared" ref="V20:Y20" si="26">V6-59</f>
        <v>2321</v>
      </c>
      <c r="W20" s="41">
        <f t="shared" si="26"/>
        <v>2321</v>
      </c>
      <c r="X20" s="41">
        <f t="shared" si="26"/>
        <v>2321</v>
      </c>
      <c r="Y20" s="47">
        <f t="shared" si="26"/>
        <v>2321</v>
      </c>
      <c r="Z20" s="54"/>
      <c r="AA20" s="41"/>
      <c r="AB20" s="41"/>
      <c r="AC20" s="41"/>
      <c r="AD20" s="41"/>
      <c r="AE20" s="41"/>
      <c r="AF20" s="54"/>
      <c r="AG20" s="41"/>
      <c r="AH20" s="41"/>
      <c r="AI20" s="41"/>
      <c r="AJ20" s="41"/>
      <c r="AK20" s="47"/>
    </row>
    <row r="21" spans="1:37" s="31" customFormat="1">
      <c r="A21" s="120" t="s">
        <v>17</v>
      </c>
      <c r="B21" s="54" t="s">
        <v>38</v>
      </c>
      <c r="C21" s="41">
        <f>C7-39</f>
        <v>1473.5</v>
      </c>
      <c r="D21" s="41">
        <f>D8-39</f>
        <v>977.66666666666663</v>
      </c>
      <c r="E21" s="41">
        <f>E9-39</f>
        <v>729.75</v>
      </c>
      <c r="F21" s="41">
        <f>F10-39</f>
        <v>721</v>
      </c>
      <c r="G21" s="42">
        <f>G11-39</f>
        <v>581</v>
      </c>
      <c r="H21" s="54" t="s">
        <v>38</v>
      </c>
      <c r="I21" s="41">
        <f>I7-39</f>
        <v>1478.5</v>
      </c>
      <c r="J21" s="41">
        <f>J8-39</f>
        <v>981</v>
      </c>
      <c r="K21" s="41">
        <f>K9-39</f>
        <v>732.25</v>
      </c>
      <c r="L21" s="41">
        <f>L10-39</f>
        <v>726</v>
      </c>
      <c r="M21" s="42">
        <f>M11-39</f>
        <v>583</v>
      </c>
      <c r="N21" s="54" t="s">
        <v>51</v>
      </c>
      <c r="O21" s="41">
        <f>O7-57</f>
        <v>1460.5</v>
      </c>
      <c r="P21" s="43">
        <f>P8-57</f>
        <v>966.33333333333337</v>
      </c>
      <c r="Q21" s="41">
        <f>Q9-57</f>
        <v>719.25</v>
      </c>
      <c r="R21" s="41">
        <f>R10-57</f>
        <v>708</v>
      </c>
      <c r="S21" s="41">
        <f>S11-57</f>
        <v>571</v>
      </c>
      <c r="T21" s="54" t="s">
        <v>51</v>
      </c>
      <c r="U21" s="41">
        <f>U7-57</f>
        <v>1465.5</v>
      </c>
      <c r="V21" s="43">
        <f>V8-57</f>
        <v>969.66666666666674</v>
      </c>
      <c r="W21" s="41">
        <f>W9-57</f>
        <v>721.75</v>
      </c>
      <c r="X21" s="41">
        <f>X10-57</f>
        <v>713</v>
      </c>
      <c r="Y21" s="47">
        <f>Y11-57</f>
        <v>573</v>
      </c>
      <c r="Z21" s="54" t="s">
        <v>91</v>
      </c>
      <c r="AA21" s="41">
        <f>AA7-64</f>
        <v>1456</v>
      </c>
      <c r="AB21" s="43">
        <f>AB8-64</f>
        <v>962.66666666666674</v>
      </c>
      <c r="AC21" s="41">
        <f>AC9-64</f>
        <v>716</v>
      </c>
      <c r="AD21" s="41">
        <f>AD10-64</f>
        <v>703.5</v>
      </c>
      <c r="AE21" s="41">
        <f>AE11-64</f>
        <v>568</v>
      </c>
      <c r="AF21" s="54" t="s">
        <v>91</v>
      </c>
      <c r="AG21" s="41">
        <f>AG7-64</f>
        <v>1461</v>
      </c>
      <c r="AH21" s="43">
        <f>AH8-64</f>
        <v>966</v>
      </c>
      <c r="AI21" s="41">
        <f>AI9-64</f>
        <v>718.5</v>
      </c>
      <c r="AJ21" s="41">
        <f>AJ10-64</f>
        <v>708.5</v>
      </c>
      <c r="AK21" s="47">
        <f>AK11-64</f>
        <v>570</v>
      </c>
    </row>
    <row r="22" spans="1:37" s="31" customFormat="1" ht="15.75" thickBot="1">
      <c r="A22" s="121"/>
      <c r="B22" s="55" t="s">
        <v>39</v>
      </c>
      <c r="C22" s="44">
        <f>C6-60</f>
        <v>2320</v>
      </c>
      <c r="D22" s="44">
        <f t="shared" ref="D22:G22" si="27">D6-60</f>
        <v>2320</v>
      </c>
      <c r="E22" s="44">
        <f t="shared" si="27"/>
        <v>2320</v>
      </c>
      <c r="F22" s="44">
        <f t="shared" si="27"/>
        <v>2320</v>
      </c>
      <c r="G22" s="45">
        <f t="shared" si="27"/>
        <v>2320</v>
      </c>
      <c r="H22" s="55" t="s">
        <v>39</v>
      </c>
      <c r="I22" s="44">
        <f>I6-60</f>
        <v>2320</v>
      </c>
      <c r="J22" s="44">
        <f t="shared" ref="J22:M22" si="28">J6-60</f>
        <v>2320</v>
      </c>
      <c r="K22" s="44">
        <f t="shared" si="28"/>
        <v>2320</v>
      </c>
      <c r="L22" s="44">
        <f t="shared" si="28"/>
        <v>2320</v>
      </c>
      <c r="M22" s="45">
        <f t="shared" si="28"/>
        <v>2320</v>
      </c>
      <c r="N22" s="55" t="s">
        <v>39</v>
      </c>
      <c r="O22" s="44">
        <f>O6-60</f>
        <v>2320</v>
      </c>
      <c r="P22" s="44">
        <f t="shared" ref="P22:S22" si="29">P6-60</f>
        <v>2320</v>
      </c>
      <c r="Q22" s="44">
        <f t="shared" si="29"/>
        <v>2320</v>
      </c>
      <c r="R22" s="44">
        <f t="shared" si="29"/>
        <v>2320</v>
      </c>
      <c r="S22" s="44">
        <f t="shared" si="29"/>
        <v>2320</v>
      </c>
      <c r="T22" s="55" t="s">
        <v>39</v>
      </c>
      <c r="U22" s="44">
        <f>U6-60</f>
        <v>2320</v>
      </c>
      <c r="V22" s="44">
        <f t="shared" ref="V22:Y22" si="30">V6-60</f>
        <v>2320</v>
      </c>
      <c r="W22" s="44">
        <f t="shared" si="30"/>
        <v>2320</v>
      </c>
      <c r="X22" s="44">
        <f t="shared" si="30"/>
        <v>2320</v>
      </c>
      <c r="Y22" s="48">
        <f t="shared" si="30"/>
        <v>2320</v>
      </c>
      <c r="Z22" s="55" t="s">
        <v>39</v>
      </c>
      <c r="AA22" s="44">
        <f>AA6-60</f>
        <v>2320</v>
      </c>
      <c r="AB22" s="44">
        <f t="shared" ref="AB22:AE22" si="31">AB6-60</f>
        <v>2320</v>
      </c>
      <c r="AC22" s="44">
        <f t="shared" si="31"/>
        <v>2320</v>
      </c>
      <c r="AD22" s="44">
        <f t="shared" si="31"/>
        <v>2320</v>
      </c>
      <c r="AE22" s="44">
        <f t="shared" si="31"/>
        <v>2320</v>
      </c>
      <c r="AF22" s="55" t="s">
        <v>39</v>
      </c>
      <c r="AG22" s="44">
        <f>AG6-60</f>
        <v>2320</v>
      </c>
      <c r="AH22" s="44">
        <f t="shared" ref="AH22:AK22" si="32">AH6-60</f>
        <v>2320</v>
      </c>
      <c r="AI22" s="44">
        <f t="shared" si="32"/>
        <v>2320</v>
      </c>
      <c r="AJ22" s="44">
        <f t="shared" si="32"/>
        <v>2320</v>
      </c>
      <c r="AK22" s="48">
        <f t="shared" si="32"/>
        <v>2320</v>
      </c>
    </row>
    <row r="26" spans="1:37">
      <c r="B26" s="73"/>
    </row>
    <row r="28" spans="1:37">
      <c r="E28" s="74"/>
      <c r="F28" s="74"/>
    </row>
    <row r="29" spans="1:37">
      <c r="B29" s="73"/>
    </row>
    <row r="30" spans="1:37">
      <c r="B30" s="73"/>
      <c r="E30" s="73"/>
    </row>
  </sheetData>
  <mergeCells count="13">
    <mergeCell ref="A19:A20"/>
    <mergeCell ref="A21:A22"/>
    <mergeCell ref="A17:A18"/>
    <mergeCell ref="B4:G4"/>
    <mergeCell ref="B3:M3"/>
    <mergeCell ref="H4:M4"/>
    <mergeCell ref="A3:A5"/>
    <mergeCell ref="Z3:AK3"/>
    <mergeCell ref="Z4:AE4"/>
    <mergeCell ref="AF4:AK4"/>
    <mergeCell ref="N4:S4"/>
    <mergeCell ref="N3:Y3"/>
    <mergeCell ref="T4:Y4"/>
  </mergeCells>
  <pageMargins left="0.39370078740157483" right="0.39370078740157483" top="0.74803149606299213" bottom="0.74803149606299213" header="0.31496062992125984" footer="0.31496062992125984"/>
  <pageSetup paperSize="9" scale="97" orientation="landscape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O31"/>
  <sheetViews>
    <sheetView workbookViewId="0">
      <selection activeCell="B3" sqref="B3:M3"/>
    </sheetView>
  </sheetViews>
  <sheetFormatPr defaultColWidth="8.85546875" defaultRowHeight="15"/>
  <cols>
    <col min="1" max="1" width="43.85546875" bestFit="1" customWidth="1"/>
    <col min="2" max="2" width="14.85546875" bestFit="1" customWidth="1"/>
    <col min="3" max="5" width="5.42578125" bestFit="1" customWidth="1"/>
    <col min="6" max="6" width="7.28515625" bestFit="1" customWidth="1"/>
    <col min="7" max="7" width="5.42578125" bestFit="1" customWidth="1"/>
    <col min="8" max="8" width="15.85546875" bestFit="1" customWidth="1"/>
    <col min="9" max="10" width="5.42578125" bestFit="1" customWidth="1"/>
    <col min="11" max="11" width="6.140625" bestFit="1" customWidth="1"/>
    <col min="12" max="12" width="7.28515625" bestFit="1" customWidth="1"/>
    <col min="13" max="13" width="5.42578125" bestFit="1" customWidth="1"/>
    <col min="15" max="15" width="10.28515625" customWidth="1"/>
  </cols>
  <sheetData>
    <row r="1" spans="1:15" ht="15.75">
      <c r="A1" s="8" t="s">
        <v>18</v>
      </c>
      <c r="B1" s="7">
        <v>2250</v>
      </c>
    </row>
    <row r="2" spans="1:15" ht="16.5" thickBot="1">
      <c r="A2" s="15" t="s">
        <v>19</v>
      </c>
      <c r="B2" s="16">
        <v>1520</v>
      </c>
    </row>
    <row r="3" spans="1:15" ht="16.5" thickBot="1">
      <c r="A3" s="127" t="s">
        <v>79</v>
      </c>
      <c r="B3" s="125" t="s"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30"/>
    </row>
    <row r="4" spans="1:15">
      <c r="A4" s="128"/>
      <c r="B4" s="123" t="s">
        <v>2</v>
      </c>
      <c r="C4" s="124"/>
      <c r="D4" s="124"/>
      <c r="E4" s="124"/>
      <c r="F4" s="124"/>
      <c r="G4" s="124"/>
      <c r="H4" s="123" t="s">
        <v>3</v>
      </c>
      <c r="I4" s="124"/>
      <c r="J4" s="124"/>
      <c r="K4" s="124"/>
      <c r="L4" s="124"/>
      <c r="M4" s="131"/>
    </row>
    <row r="5" spans="1:15">
      <c r="A5" s="129"/>
      <c r="B5" s="49" t="s">
        <v>20</v>
      </c>
      <c r="C5" s="68" t="s">
        <v>21</v>
      </c>
      <c r="D5" s="3" t="s">
        <v>22</v>
      </c>
      <c r="E5" s="3" t="s">
        <v>23</v>
      </c>
      <c r="F5" s="3" t="s">
        <v>23</v>
      </c>
      <c r="G5" s="6" t="s">
        <v>24</v>
      </c>
      <c r="H5" s="49" t="s">
        <v>20</v>
      </c>
      <c r="I5" s="3" t="s">
        <v>21</v>
      </c>
      <c r="J5" s="3" t="s">
        <v>22</v>
      </c>
      <c r="K5" s="3" t="s">
        <v>23</v>
      </c>
      <c r="L5" s="3" t="s">
        <v>23</v>
      </c>
      <c r="M5" s="10" t="s">
        <v>24</v>
      </c>
    </row>
    <row r="6" spans="1:15" ht="15.75">
      <c r="A6" s="9" t="s">
        <v>4</v>
      </c>
      <c r="B6" s="85" t="s">
        <v>103</v>
      </c>
      <c r="C6" s="69">
        <f>$B$1-35</f>
        <v>2215</v>
      </c>
      <c r="D6" s="4">
        <f t="shared" ref="D6:G6" si="0">$B$1-35</f>
        <v>2215</v>
      </c>
      <c r="E6" s="4">
        <f t="shared" si="0"/>
        <v>2215</v>
      </c>
      <c r="F6" s="4">
        <f t="shared" si="0"/>
        <v>2215</v>
      </c>
      <c r="G6" s="14">
        <f t="shared" si="0"/>
        <v>2215</v>
      </c>
      <c r="H6" s="85" t="s">
        <v>103</v>
      </c>
      <c r="I6" s="4">
        <f t="shared" ref="I6:M6" si="1">$B$1-35</f>
        <v>2215</v>
      </c>
      <c r="J6" s="4">
        <f t="shared" si="1"/>
        <v>2215</v>
      </c>
      <c r="K6" s="4">
        <f t="shared" si="1"/>
        <v>2215</v>
      </c>
      <c r="L6" s="4">
        <f t="shared" si="1"/>
        <v>2215</v>
      </c>
      <c r="M6" s="11">
        <f t="shared" si="1"/>
        <v>2215</v>
      </c>
    </row>
    <row r="7" spans="1:15" ht="15.75">
      <c r="A7" s="5" t="s">
        <v>5</v>
      </c>
      <c r="B7" s="50" t="s">
        <v>27</v>
      </c>
      <c r="C7" s="69">
        <f>(B2+15)/2</f>
        <v>767.5</v>
      </c>
      <c r="D7" s="1"/>
      <c r="E7" s="1"/>
      <c r="F7" s="1"/>
      <c r="G7" s="5"/>
      <c r="H7" s="50" t="s">
        <v>40</v>
      </c>
      <c r="I7" s="4">
        <f>($B2+25)/2</f>
        <v>772.5</v>
      </c>
      <c r="J7" s="4"/>
      <c r="K7" s="1"/>
      <c r="L7" s="1"/>
      <c r="M7" s="12"/>
    </row>
    <row r="8" spans="1:15" ht="15.75">
      <c r="A8" s="5" t="s">
        <v>6</v>
      </c>
      <c r="B8" s="50" t="s">
        <v>28</v>
      </c>
      <c r="C8" s="70"/>
      <c r="D8" s="4">
        <f>($B2+40)/3</f>
        <v>520</v>
      </c>
      <c r="E8" s="1"/>
      <c r="F8" s="1"/>
      <c r="G8" s="5"/>
      <c r="H8" s="50" t="s">
        <v>41</v>
      </c>
      <c r="I8" s="1"/>
      <c r="J8" s="79">
        <f>($B2+50)/3</f>
        <v>523.33333333333337</v>
      </c>
      <c r="K8" s="1"/>
      <c r="L8" s="1"/>
      <c r="M8" s="12"/>
    </row>
    <row r="9" spans="1:15" ht="15.75">
      <c r="A9" s="5" t="s">
        <v>7</v>
      </c>
      <c r="B9" s="50" t="s">
        <v>29</v>
      </c>
      <c r="C9" s="70"/>
      <c r="D9" s="1"/>
      <c r="E9" s="4">
        <f>($B2+65)/4</f>
        <v>396.25</v>
      </c>
      <c r="F9" s="1"/>
      <c r="G9" s="5"/>
      <c r="H9" s="50" t="s">
        <v>42</v>
      </c>
      <c r="I9" s="1"/>
      <c r="J9" s="1"/>
      <c r="K9" s="4">
        <f>($B2+75)/4</f>
        <v>398.75</v>
      </c>
      <c r="L9" s="1"/>
      <c r="M9" s="12"/>
    </row>
    <row r="10" spans="1:15" ht="15.75">
      <c r="A10" s="5" t="s">
        <v>8</v>
      </c>
      <c r="B10" s="50" t="s">
        <v>30</v>
      </c>
      <c r="C10" s="70"/>
      <c r="D10" s="1"/>
      <c r="E10" s="1"/>
      <c r="F10" s="4">
        <f>($B2+30)/4</f>
        <v>387.5</v>
      </c>
      <c r="G10" s="5"/>
      <c r="H10" s="50" t="s">
        <v>43</v>
      </c>
      <c r="I10" s="1"/>
      <c r="J10" s="1"/>
      <c r="K10" s="1"/>
      <c r="L10" s="4">
        <f>($B2+50)/4</f>
        <v>392.5</v>
      </c>
      <c r="M10" s="12"/>
    </row>
    <row r="11" spans="1:15" ht="15.75">
      <c r="A11" s="5" t="s">
        <v>9</v>
      </c>
      <c r="B11" s="50" t="s">
        <v>31</v>
      </c>
      <c r="C11" s="70"/>
      <c r="D11" s="1"/>
      <c r="E11" s="1"/>
      <c r="F11" s="1"/>
      <c r="G11" s="14">
        <f>($B2+90)/5</f>
        <v>322</v>
      </c>
      <c r="H11" s="50" t="s">
        <v>44</v>
      </c>
      <c r="I11" s="1"/>
      <c r="J11" s="1"/>
      <c r="K11" s="1"/>
      <c r="L11" s="1"/>
      <c r="M11" s="11">
        <f>($B2+100)/5</f>
        <v>324</v>
      </c>
    </row>
    <row r="12" spans="1:15">
      <c r="A12" s="5" t="s">
        <v>10</v>
      </c>
      <c r="B12" s="50" t="s">
        <v>32</v>
      </c>
      <c r="C12" s="70">
        <f>$C7-52</f>
        <v>715.5</v>
      </c>
      <c r="D12" s="1">
        <f>D8-52</f>
        <v>468</v>
      </c>
      <c r="E12" s="1">
        <f>E9-52</f>
        <v>344.25</v>
      </c>
      <c r="F12" s="1">
        <f>F10-52</f>
        <v>335.5</v>
      </c>
      <c r="G12" s="5">
        <f>G11-52</f>
        <v>270</v>
      </c>
      <c r="H12" s="50" t="s">
        <v>32</v>
      </c>
      <c r="I12" s="1">
        <f>$I7-52</f>
        <v>720.5</v>
      </c>
      <c r="J12" s="80">
        <f>J8-52</f>
        <v>471.33333333333337</v>
      </c>
      <c r="K12" s="1">
        <f>K9-52</f>
        <v>346.75</v>
      </c>
      <c r="L12" s="1">
        <f>L10-52</f>
        <v>340.5</v>
      </c>
      <c r="M12" s="12">
        <f>M11-52</f>
        <v>272</v>
      </c>
    </row>
    <row r="13" spans="1:15">
      <c r="A13" s="5" t="s">
        <v>11</v>
      </c>
      <c r="B13" s="50" t="s">
        <v>32</v>
      </c>
      <c r="C13" s="70">
        <f>C7-52</f>
        <v>715.5</v>
      </c>
      <c r="D13" s="1">
        <f>D8-52</f>
        <v>468</v>
      </c>
      <c r="E13" s="1">
        <f>E9-52</f>
        <v>344.25</v>
      </c>
      <c r="F13" s="1">
        <f>F10-52</f>
        <v>335.5</v>
      </c>
      <c r="G13" s="5">
        <f>G11-52</f>
        <v>270</v>
      </c>
      <c r="H13" s="50" t="s">
        <v>32</v>
      </c>
      <c r="I13" s="1">
        <f>I7-52</f>
        <v>720.5</v>
      </c>
      <c r="J13" s="80">
        <f>J8-52</f>
        <v>471.33333333333337</v>
      </c>
      <c r="K13" s="1">
        <f>K9-52</f>
        <v>346.75</v>
      </c>
      <c r="L13" s="1">
        <f>L10-52</f>
        <v>340.5</v>
      </c>
      <c r="M13" s="12">
        <f>M11-52</f>
        <v>272</v>
      </c>
    </row>
    <row r="14" spans="1:15">
      <c r="A14" s="5" t="s">
        <v>12</v>
      </c>
      <c r="B14" s="50" t="s">
        <v>32</v>
      </c>
      <c r="C14" s="70">
        <f>C7-52</f>
        <v>715.5</v>
      </c>
      <c r="D14" s="1">
        <f>D8-52</f>
        <v>468</v>
      </c>
      <c r="E14" s="1">
        <f>E9-52</f>
        <v>344.25</v>
      </c>
      <c r="F14" s="1">
        <f>F10-52</f>
        <v>335.5</v>
      </c>
      <c r="G14" s="5">
        <f>G11-52</f>
        <v>270</v>
      </c>
      <c r="H14" s="50" t="s">
        <v>32</v>
      </c>
      <c r="I14" s="1">
        <f>I7-52</f>
        <v>720.5</v>
      </c>
      <c r="J14" s="80">
        <f>J8-52</f>
        <v>471.33333333333337</v>
      </c>
      <c r="K14" s="1">
        <f>K9-52</f>
        <v>346.75</v>
      </c>
      <c r="L14" s="1">
        <f>L10-52</f>
        <v>340.5</v>
      </c>
      <c r="M14" s="12">
        <f>M11-52</f>
        <v>272</v>
      </c>
    </row>
    <row r="15" spans="1:15" s="31" customFormat="1">
      <c r="A15" s="27" t="s">
        <v>13</v>
      </c>
      <c r="B15" s="51" t="s">
        <v>33</v>
      </c>
      <c r="C15" s="71">
        <f>$B2</f>
        <v>1520</v>
      </c>
      <c r="D15" s="28">
        <f t="shared" ref="D15:G15" si="2">$B2</f>
        <v>1520</v>
      </c>
      <c r="E15" s="28">
        <f t="shared" si="2"/>
        <v>1520</v>
      </c>
      <c r="F15" s="28">
        <f t="shared" si="2"/>
        <v>1520</v>
      </c>
      <c r="G15" s="29">
        <f t="shared" si="2"/>
        <v>1520</v>
      </c>
      <c r="H15" s="51" t="s">
        <v>33</v>
      </c>
      <c r="I15" s="28">
        <f>$B2</f>
        <v>1520</v>
      </c>
      <c r="J15" s="81">
        <f t="shared" ref="J15:M15" si="3">$B2</f>
        <v>1520</v>
      </c>
      <c r="K15" s="28">
        <f t="shared" si="3"/>
        <v>1520</v>
      </c>
      <c r="L15" s="28">
        <f t="shared" si="3"/>
        <v>1520</v>
      </c>
      <c r="M15" s="30">
        <f t="shared" si="3"/>
        <v>1520</v>
      </c>
      <c r="O15"/>
    </row>
    <row r="16" spans="1:15" s="31" customFormat="1" ht="15.75" thickBot="1">
      <c r="A16" s="32" t="s">
        <v>14</v>
      </c>
      <c r="B16" s="52" t="s">
        <v>33</v>
      </c>
      <c r="C16" s="72">
        <f>$B2</f>
        <v>1520</v>
      </c>
      <c r="D16" s="33">
        <f t="shared" ref="D16:G16" si="4">$B2</f>
        <v>1520</v>
      </c>
      <c r="E16" s="33">
        <f t="shared" si="4"/>
        <v>1520</v>
      </c>
      <c r="F16" s="33">
        <f t="shared" si="4"/>
        <v>1520</v>
      </c>
      <c r="G16" s="34">
        <f t="shared" si="4"/>
        <v>1520</v>
      </c>
      <c r="H16" s="52" t="s">
        <v>33</v>
      </c>
      <c r="I16" s="33">
        <f>$B2</f>
        <v>1520</v>
      </c>
      <c r="J16" s="33">
        <f t="shared" ref="J16:M16" si="5">$B2</f>
        <v>1520</v>
      </c>
      <c r="K16" s="33">
        <f t="shared" si="5"/>
        <v>1520</v>
      </c>
      <c r="L16" s="33">
        <f t="shared" si="5"/>
        <v>1520</v>
      </c>
      <c r="M16" s="35">
        <f t="shared" si="5"/>
        <v>1520</v>
      </c>
      <c r="O16"/>
    </row>
    <row r="17" spans="1:15" s="31" customFormat="1">
      <c r="A17" s="122" t="s">
        <v>15</v>
      </c>
      <c r="B17" s="53" t="s">
        <v>34</v>
      </c>
      <c r="C17" s="36">
        <f>C7-36</f>
        <v>731.5</v>
      </c>
      <c r="D17" s="36">
        <f>D8-36</f>
        <v>484</v>
      </c>
      <c r="E17" s="36">
        <f>E9-36</f>
        <v>360.25</v>
      </c>
      <c r="F17" s="36">
        <f>F10-36</f>
        <v>351.5</v>
      </c>
      <c r="G17" s="77">
        <f>G11-36</f>
        <v>286</v>
      </c>
      <c r="H17" s="53" t="s">
        <v>34</v>
      </c>
      <c r="I17" s="36">
        <f>I7-36</f>
        <v>736.5</v>
      </c>
      <c r="J17" s="82">
        <f>J8-36</f>
        <v>487.33333333333337</v>
      </c>
      <c r="K17" s="36">
        <f>K9-36</f>
        <v>362.75</v>
      </c>
      <c r="L17" s="36">
        <f>L10-36</f>
        <v>356.5</v>
      </c>
      <c r="M17" s="78">
        <f>M11-36</f>
        <v>288</v>
      </c>
      <c r="O17"/>
    </row>
    <row r="18" spans="1:15" s="31" customFormat="1">
      <c r="A18" s="120"/>
      <c r="B18" s="84" t="s">
        <v>102</v>
      </c>
      <c r="C18" s="41">
        <f>C6-59</f>
        <v>2156</v>
      </c>
      <c r="D18" s="41">
        <f t="shared" ref="D18:G18" si="6">D6-59</f>
        <v>2156</v>
      </c>
      <c r="E18" s="41">
        <f t="shared" si="6"/>
        <v>2156</v>
      </c>
      <c r="F18" s="41">
        <f t="shared" si="6"/>
        <v>2156</v>
      </c>
      <c r="G18" s="75">
        <f t="shared" si="6"/>
        <v>2156</v>
      </c>
      <c r="H18" s="84" t="s">
        <v>102</v>
      </c>
      <c r="I18" s="41">
        <f>I6-59</f>
        <v>2156</v>
      </c>
      <c r="J18" s="41">
        <f t="shared" ref="J18:M18" si="7">J6-59</f>
        <v>2156</v>
      </c>
      <c r="K18" s="41">
        <f t="shared" si="7"/>
        <v>2156</v>
      </c>
      <c r="L18" s="41">
        <f t="shared" si="7"/>
        <v>2156</v>
      </c>
      <c r="M18" s="47">
        <f t="shared" si="7"/>
        <v>2156</v>
      </c>
      <c r="O18"/>
    </row>
    <row r="19" spans="1:15" s="31" customFormat="1">
      <c r="A19" s="120" t="s">
        <v>16</v>
      </c>
      <c r="B19" s="54" t="s">
        <v>36</v>
      </c>
      <c r="C19" s="41">
        <f>C7-38</f>
        <v>729.5</v>
      </c>
      <c r="D19" s="41">
        <f>D8-38</f>
        <v>482</v>
      </c>
      <c r="E19" s="41">
        <f>E9-38</f>
        <v>358.25</v>
      </c>
      <c r="F19" s="41">
        <f>F10-38</f>
        <v>349.5</v>
      </c>
      <c r="G19" s="75">
        <f>G11-38</f>
        <v>284</v>
      </c>
      <c r="H19" s="54" t="s">
        <v>36</v>
      </c>
      <c r="I19" s="41">
        <f>I7-38</f>
        <v>734.5</v>
      </c>
      <c r="J19" s="83">
        <f>J8-38</f>
        <v>485.33333333333337</v>
      </c>
      <c r="K19" s="41">
        <f>K9-38</f>
        <v>360.75</v>
      </c>
      <c r="L19" s="41">
        <f>L10-38</f>
        <v>354.5</v>
      </c>
      <c r="M19" s="47">
        <f>M11-38</f>
        <v>286</v>
      </c>
      <c r="O19"/>
    </row>
    <row r="20" spans="1:15" s="31" customFormat="1">
      <c r="A20" s="120"/>
      <c r="B20" s="84" t="s">
        <v>104</v>
      </c>
      <c r="C20" s="41">
        <f>C6-61</f>
        <v>2154</v>
      </c>
      <c r="D20" s="41">
        <f t="shared" ref="D20:G20" si="8">D6-61</f>
        <v>2154</v>
      </c>
      <c r="E20" s="41">
        <f t="shared" si="8"/>
        <v>2154</v>
      </c>
      <c r="F20" s="41">
        <f t="shared" si="8"/>
        <v>2154</v>
      </c>
      <c r="G20" s="75">
        <f t="shared" si="8"/>
        <v>2154</v>
      </c>
      <c r="H20" s="84" t="s">
        <v>104</v>
      </c>
      <c r="I20" s="41">
        <f t="shared" ref="I20:M20" si="9">I6-61</f>
        <v>2154</v>
      </c>
      <c r="J20" s="41">
        <f t="shared" si="9"/>
        <v>2154</v>
      </c>
      <c r="K20" s="41">
        <f t="shared" si="9"/>
        <v>2154</v>
      </c>
      <c r="L20" s="41">
        <f t="shared" si="9"/>
        <v>2154</v>
      </c>
      <c r="M20" s="47">
        <f t="shared" si="9"/>
        <v>2154</v>
      </c>
      <c r="O20"/>
    </row>
    <row r="21" spans="1:15" s="31" customFormat="1">
      <c r="A21" s="120" t="s">
        <v>17</v>
      </c>
      <c r="B21" s="54" t="s">
        <v>38</v>
      </c>
      <c r="C21" s="41">
        <f>C7-39</f>
        <v>728.5</v>
      </c>
      <c r="D21" s="41">
        <f>D8-39</f>
        <v>481</v>
      </c>
      <c r="E21" s="41">
        <f>E9-39</f>
        <v>357.25</v>
      </c>
      <c r="F21" s="41">
        <f>F10-39</f>
        <v>348.5</v>
      </c>
      <c r="G21" s="75">
        <f>G11-39</f>
        <v>283</v>
      </c>
      <c r="H21" s="54" t="s">
        <v>38</v>
      </c>
      <c r="I21" s="41">
        <f>I7-39</f>
        <v>733.5</v>
      </c>
      <c r="J21" s="83">
        <f>J8-39</f>
        <v>484.33333333333337</v>
      </c>
      <c r="K21" s="41">
        <f>K9-39</f>
        <v>359.75</v>
      </c>
      <c r="L21" s="41">
        <f>L10-39</f>
        <v>353.5</v>
      </c>
      <c r="M21" s="47">
        <f>M11-39</f>
        <v>285</v>
      </c>
      <c r="O21"/>
    </row>
    <row r="22" spans="1:15" s="31" customFormat="1" ht="15.75" thickBot="1">
      <c r="A22" s="121"/>
      <c r="B22" s="86" t="s">
        <v>105</v>
      </c>
      <c r="C22" s="44">
        <f>C6-62</f>
        <v>2153</v>
      </c>
      <c r="D22" s="44">
        <f t="shared" ref="D22:G22" si="10">D6-62</f>
        <v>2153</v>
      </c>
      <c r="E22" s="44">
        <f t="shared" si="10"/>
        <v>2153</v>
      </c>
      <c r="F22" s="44">
        <f t="shared" si="10"/>
        <v>2153</v>
      </c>
      <c r="G22" s="76">
        <f t="shared" si="10"/>
        <v>2153</v>
      </c>
      <c r="H22" s="86" t="s">
        <v>105</v>
      </c>
      <c r="I22" s="44">
        <f t="shared" ref="I22:M22" si="11">I6-62</f>
        <v>2153</v>
      </c>
      <c r="J22" s="44">
        <f t="shared" si="11"/>
        <v>2153</v>
      </c>
      <c r="K22" s="44">
        <f t="shared" si="11"/>
        <v>2153</v>
      </c>
      <c r="L22" s="44">
        <f t="shared" si="11"/>
        <v>2153</v>
      </c>
      <c r="M22" s="48">
        <f t="shared" si="11"/>
        <v>2153</v>
      </c>
      <c r="O22"/>
    </row>
    <row r="23" spans="1:15" ht="5.25" customHeight="1"/>
    <row r="24" spans="1:15" ht="17.100000000000001" customHeight="1">
      <c r="A24" s="132" t="s">
        <v>108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5" ht="17.100000000000001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5" ht="5.25" customHeight="1"/>
    <row r="27" spans="1:15">
      <c r="A27" s="133" t="s">
        <v>107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5">
      <c r="A28" s="134" t="s">
        <v>106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31" spans="1:15">
      <c r="B31" s="73"/>
      <c r="E31" s="73"/>
    </row>
  </sheetData>
  <mergeCells count="10">
    <mergeCell ref="A27:M27"/>
    <mergeCell ref="A28:M28"/>
    <mergeCell ref="A17:A18"/>
    <mergeCell ref="A19:A20"/>
    <mergeCell ref="A21:A22"/>
    <mergeCell ref="A3:A5"/>
    <mergeCell ref="B3:M3"/>
    <mergeCell ref="B4:G4"/>
    <mergeCell ref="H4:M4"/>
    <mergeCell ref="A24:M25"/>
  </mergeCells>
  <pageMargins left="0.39370078740157483" right="0.39370078740157483" top="0.74803149606299213" bottom="0.74803149606299213" header="0.31496062992125984" footer="0.31496062992125984"/>
  <pageSetup paperSize="9" scale="9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3" sqref="B3:G3"/>
    </sheetView>
  </sheetViews>
  <sheetFormatPr defaultColWidth="8.85546875" defaultRowHeight="15"/>
  <cols>
    <col min="1" max="1" width="43.85546875" bestFit="1" customWidth="1"/>
    <col min="2" max="2" width="17" bestFit="1" customWidth="1"/>
    <col min="3" max="7" width="5.42578125" bestFit="1" customWidth="1"/>
    <col min="8" max="8" width="16" bestFit="1" customWidth="1"/>
    <col min="9" max="10" width="5.42578125" bestFit="1" customWidth="1"/>
    <col min="11" max="11" width="6.42578125" bestFit="1" customWidth="1"/>
    <col min="12" max="13" width="5.42578125" bestFit="1" customWidth="1"/>
  </cols>
  <sheetData>
    <row r="1" spans="1:13" ht="15.75">
      <c r="A1" s="8" t="s">
        <v>18</v>
      </c>
      <c r="B1" s="7">
        <v>2660</v>
      </c>
    </row>
    <row r="2" spans="1:13" ht="15.75">
      <c r="A2" s="15" t="s">
        <v>19</v>
      </c>
      <c r="B2" s="16">
        <v>1350</v>
      </c>
    </row>
    <row r="3" spans="1:13" ht="15.75">
      <c r="A3" s="137" t="s">
        <v>79</v>
      </c>
      <c r="B3" s="135" t="s">
        <v>87</v>
      </c>
      <c r="C3" s="135"/>
      <c r="D3" s="135"/>
      <c r="E3" s="135"/>
      <c r="F3" s="135"/>
      <c r="G3" s="135"/>
      <c r="H3" s="135" t="s">
        <v>88</v>
      </c>
      <c r="I3" s="135"/>
      <c r="J3" s="135"/>
      <c r="K3" s="135"/>
      <c r="L3" s="135"/>
      <c r="M3" s="135"/>
    </row>
    <row r="4" spans="1:13">
      <c r="A4" s="138"/>
      <c r="B4" s="56" t="s">
        <v>20</v>
      </c>
      <c r="C4" s="3" t="s">
        <v>21</v>
      </c>
      <c r="D4" s="3" t="s">
        <v>22</v>
      </c>
      <c r="E4" s="3" t="s">
        <v>23</v>
      </c>
      <c r="F4" s="3" t="s">
        <v>23</v>
      </c>
      <c r="G4" s="3" t="s">
        <v>24</v>
      </c>
      <c r="H4" s="56" t="s">
        <v>20</v>
      </c>
      <c r="I4" s="3" t="s">
        <v>21</v>
      </c>
      <c r="J4" s="3" t="s">
        <v>22</v>
      </c>
      <c r="K4" s="3" t="s">
        <v>23</v>
      </c>
      <c r="L4" s="3" t="s">
        <v>23</v>
      </c>
      <c r="M4" s="3" t="s">
        <v>24</v>
      </c>
    </row>
    <row r="5" spans="1:13" ht="15.75">
      <c r="A5" s="66" t="s">
        <v>4</v>
      </c>
      <c r="B5" s="57" t="s">
        <v>57</v>
      </c>
      <c r="C5" s="4">
        <f>$B1-35</f>
        <v>2625</v>
      </c>
      <c r="D5" s="4">
        <f t="shared" ref="D5:G5" si="0">$B1-35</f>
        <v>2625</v>
      </c>
      <c r="E5" s="4">
        <f t="shared" si="0"/>
        <v>2625</v>
      </c>
      <c r="F5" s="4">
        <f t="shared" si="0"/>
        <v>2625</v>
      </c>
      <c r="G5" s="4">
        <f t="shared" si="0"/>
        <v>2625</v>
      </c>
      <c r="H5" s="57" t="s">
        <v>57</v>
      </c>
      <c r="I5" s="59">
        <f>$B1-35</f>
        <v>2625</v>
      </c>
      <c r="J5" s="59">
        <f t="shared" ref="J5:M5" si="1">$B1-35</f>
        <v>2625</v>
      </c>
      <c r="K5" s="59">
        <f t="shared" si="1"/>
        <v>2625</v>
      </c>
      <c r="L5" s="59">
        <f t="shared" si="1"/>
        <v>2625</v>
      </c>
      <c r="M5" s="59">
        <f t="shared" si="1"/>
        <v>2625</v>
      </c>
    </row>
    <row r="6" spans="1:13">
      <c r="A6" s="1" t="s">
        <v>5</v>
      </c>
      <c r="B6" s="57" t="s">
        <v>58</v>
      </c>
      <c r="C6" s="1">
        <f>(B2+26)/2</f>
        <v>688</v>
      </c>
      <c r="D6" s="1"/>
      <c r="E6" s="1"/>
      <c r="F6" s="1"/>
      <c r="G6" s="1"/>
      <c r="H6" s="57" t="s">
        <v>70</v>
      </c>
      <c r="I6" s="1">
        <f>(B2+20)/2</f>
        <v>685</v>
      </c>
      <c r="J6" s="1"/>
      <c r="K6" s="1"/>
      <c r="L6" s="1"/>
      <c r="M6" s="1"/>
    </row>
    <row r="7" spans="1:13">
      <c r="A7" s="1" t="s">
        <v>6</v>
      </c>
      <c r="B7" s="57" t="s">
        <v>59</v>
      </c>
      <c r="C7" s="1"/>
      <c r="D7" s="1">
        <f>(B2+52)/3</f>
        <v>467.33333333333331</v>
      </c>
      <c r="E7" s="1"/>
      <c r="F7" s="1"/>
      <c r="G7" s="1"/>
      <c r="H7" s="57" t="s">
        <v>71</v>
      </c>
      <c r="I7" s="1"/>
      <c r="J7" s="23">
        <f>(B2+42)/3</f>
        <v>464</v>
      </c>
      <c r="K7" s="1"/>
      <c r="L7" s="1"/>
      <c r="M7" s="1"/>
    </row>
    <row r="8" spans="1:13">
      <c r="A8" s="1" t="s">
        <v>7</v>
      </c>
      <c r="B8" s="57" t="s">
        <v>60</v>
      </c>
      <c r="C8" s="1"/>
      <c r="D8" s="1"/>
      <c r="E8" s="1">
        <f>(B2+78)/4</f>
        <v>357</v>
      </c>
      <c r="F8" s="1"/>
      <c r="G8" s="1"/>
      <c r="H8" s="57" t="s">
        <v>72</v>
      </c>
      <c r="I8" s="1"/>
      <c r="J8" s="1"/>
      <c r="K8" s="1">
        <f>(B2+63)/4</f>
        <v>353.25</v>
      </c>
      <c r="L8" s="1"/>
      <c r="M8" s="1"/>
    </row>
    <row r="9" spans="1:13">
      <c r="A9" s="1" t="s">
        <v>25</v>
      </c>
      <c r="B9" s="57" t="s">
        <v>61</v>
      </c>
      <c r="C9" s="1"/>
      <c r="D9" s="1"/>
      <c r="E9" s="1"/>
      <c r="F9" s="1">
        <f>(B2+52)/4</f>
        <v>350.5</v>
      </c>
      <c r="G9" s="1"/>
      <c r="H9" s="57" t="s">
        <v>73</v>
      </c>
      <c r="I9" s="1"/>
      <c r="J9" s="1"/>
      <c r="K9" s="1"/>
      <c r="L9" s="1">
        <f>(B2+40)/4</f>
        <v>347.5</v>
      </c>
      <c r="M9" s="1"/>
    </row>
    <row r="10" spans="1:13">
      <c r="A10" s="1" t="s">
        <v>9</v>
      </c>
      <c r="B10" s="57" t="s">
        <v>62</v>
      </c>
      <c r="C10" s="1"/>
      <c r="D10" s="1"/>
      <c r="E10" s="1"/>
      <c r="F10" s="1"/>
      <c r="G10" s="1">
        <f>(B2+104)/5</f>
        <v>290.8</v>
      </c>
      <c r="H10" s="57" t="s">
        <v>74</v>
      </c>
      <c r="I10" s="1"/>
      <c r="J10" s="1"/>
      <c r="K10" s="1"/>
      <c r="L10" s="1"/>
      <c r="M10" s="1">
        <f>(B2+84)/5</f>
        <v>286.8</v>
      </c>
    </row>
    <row r="11" spans="1:13">
      <c r="A11" s="1" t="s">
        <v>10</v>
      </c>
      <c r="B11" s="57" t="s">
        <v>63</v>
      </c>
      <c r="C11" s="1">
        <f>C6-28</f>
        <v>660</v>
      </c>
      <c r="D11" s="1">
        <f>D7-28</f>
        <v>439.33333333333331</v>
      </c>
      <c r="E11" s="1">
        <f>E8-28</f>
        <v>329</v>
      </c>
      <c r="F11" s="1">
        <f>F9-28</f>
        <v>322.5</v>
      </c>
      <c r="G11" s="1">
        <f>G10-28</f>
        <v>262.8</v>
      </c>
      <c r="H11" s="57" t="s">
        <v>63</v>
      </c>
      <c r="I11" s="1">
        <f>I6-28</f>
        <v>657</v>
      </c>
      <c r="J11" s="1">
        <f>J7-28</f>
        <v>436</v>
      </c>
      <c r="K11" s="1">
        <f>K8-28</f>
        <v>325.25</v>
      </c>
      <c r="L11" s="1">
        <f>L9-28</f>
        <v>319.5</v>
      </c>
      <c r="M11" s="1">
        <f>M10-28</f>
        <v>258.8</v>
      </c>
    </row>
    <row r="12" spans="1:13">
      <c r="A12" s="1" t="s">
        <v>11</v>
      </c>
      <c r="B12" s="57" t="s">
        <v>63</v>
      </c>
      <c r="C12" s="1">
        <f>C6-28</f>
        <v>660</v>
      </c>
      <c r="D12" s="1">
        <f>D7-28</f>
        <v>439.33333333333331</v>
      </c>
      <c r="E12" s="1">
        <f>E8-28</f>
        <v>329</v>
      </c>
      <c r="F12" s="1">
        <f>F9-28</f>
        <v>322.5</v>
      </c>
      <c r="G12" s="1">
        <f>G10-28</f>
        <v>262.8</v>
      </c>
      <c r="H12" s="57" t="s">
        <v>63</v>
      </c>
      <c r="I12" s="1">
        <f>I6-28</f>
        <v>657</v>
      </c>
      <c r="J12" s="1">
        <f>J7-28</f>
        <v>436</v>
      </c>
      <c r="K12" s="1">
        <f>K8-28</f>
        <v>325.25</v>
      </c>
      <c r="L12" s="1">
        <f>L9-28</f>
        <v>319.5</v>
      </c>
      <c r="M12" s="1">
        <f>M10-28</f>
        <v>258.8</v>
      </c>
    </row>
    <row r="13" spans="1:13">
      <c r="A13" s="1" t="s">
        <v>12</v>
      </c>
      <c r="B13" s="57" t="s">
        <v>63</v>
      </c>
      <c r="C13" s="1">
        <f>C6-28</f>
        <v>660</v>
      </c>
      <c r="D13" s="1">
        <f>D7-28</f>
        <v>439.33333333333331</v>
      </c>
      <c r="E13" s="1">
        <f>E8-28</f>
        <v>329</v>
      </c>
      <c r="F13" s="1">
        <f>F9-28</f>
        <v>322.5</v>
      </c>
      <c r="G13" s="1">
        <f>G10-28</f>
        <v>262.8</v>
      </c>
      <c r="H13" s="57" t="s">
        <v>63</v>
      </c>
      <c r="I13" s="1">
        <f>I6-28</f>
        <v>657</v>
      </c>
      <c r="J13" s="1">
        <f>J7-28</f>
        <v>436</v>
      </c>
      <c r="K13" s="1">
        <f>K8-28</f>
        <v>325.25</v>
      </c>
      <c r="L13" s="1">
        <f>L9-28</f>
        <v>319.5</v>
      </c>
      <c r="M13" s="1">
        <f>M10-28</f>
        <v>258.8</v>
      </c>
    </row>
    <row r="14" spans="1:13">
      <c r="A14" s="1" t="s">
        <v>13</v>
      </c>
      <c r="B14" s="57" t="s">
        <v>33</v>
      </c>
      <c r="C14" s="1">
        <f>$B2</f>
        <v>1350</v>
      </c>
      <c r="D14" s="1">
        <f t="shared" ref="D14:G14" si="2">$B2</f>
        <v>1350</v>
      </c>
      <c r="E14" s="1">
        <f t="shared" si="2"/>
        <v>1350</v>
      </c>
      <c r="F14" s="1">
        <f t="shared" si="2"/>
        <v>1350</v>
      </c>
      <c r="G14" s="1">
        <f t="shared" si="2"/>
        <v>1350</v>
      </c>
      <c r="H14" s="57" t="s">
        <v>33</v>
      </c>
      <c r="I14" s="21">
        <f>$B2</f>
        <v>1350</v>
      </c>
      <c r="J14" s="21">
        <f t="shared" ref="J14:M14" si="3">$B2</f>
        <v>1350</v>
      </c>
      <c r="K14" s="21">
        <f t="shared" si="3"/>
        <v>1350</v>
      </c>
      <c r="L14" s="21">
        <f t="shared" si="3"/>
        <v>1350</v>
      </c>
      <c r="M14" s="21">
        <f t="shared" si="3"/>
        <v>1350</v>
      </c>
    </row>
    <row r="15" spans="1:13">
      <c r="A15" s="1" t="s">
        <v>14</v>
      </c>
      <c r="B15" s="57" t="s">
        <v>33</v>
      </c>
      <c r="C15" s="1">
        <f>$B2</f>
        <v>1350</v>
      </c>
      <c r="D15" s="1">
        <f t="shared" ref="D15:G15" si="4">$B2</f>
        <v>1350</v>
      </c>
      <c r="E15" s="1">
        <f t="shared" si="4"/>
        <v>1350</v>
      </c>
      <c r="F15" s="1">
        <f t="shared" si="4"/>
        <v>1350</v>
      </c>
      <c r="G15" s="1">
        <f t="shared" si="4"/>
        <v>1350</v>
      </c>
      <c r="H15" s="57" t="s">
        <v>33</v>
      </c>
      <c r="I15" s="21">
        <f>$B2</f>
        <v>1350</v>
      </c>
      <c r="J15" s="21">
        <f t="shared" ref="J15:M15" si="5">$B2</f>
        <v>1350</v>
      </c>
      <c r="K15" s="21">
        <f t="shared" si="5"/>
        <v>1350</v>
      </c>
      <c r="L15" s="21">
        <f t="shared" si="5"/>
        <v>1350</v>
      </c>
      <c r="M15" s="21">
        <f t="shared" si="5"/>
        <v>1350</v>
      </c>
    </row>
    <row r="16" spans="1:13">
      <c r="A16" s="136" t="s">
        <v>15</v>
      </c>
      <c r="B16" s="58" t="s">
        <v>64</v>
      </c>
      <c r="C16" s="18">
        <f>C6-10</f>
        <v>678</v>
      </c>
      <c r="D16" s="18">
        <f>D7-10</f>
        <v>457.33333333333331</v>
      </c>
      <c r="E16" s="18">
        <f>E8-10</f>
        <v>347</v>
      </c>
      <c r="F16" s="18">
        <f>F9-10</f>
        <v>340.5</v>
      </c>
      <c r="G16" s="18">
        <f>G10-10</f>
        <v>280.8</v>
      </c>
      <c r="H16" s="58" t="s">
        <v>64</v>
      </c>
      <c r="I16" s="18">
        <f>I6-10</f>
        <v>675</v>
      </c>
      <c r="J16" s="18">
        <f>J7-10</f>
        <v>454</v>
      </c>
      <c r="K16" s="18">
        <f>K8-10</f>
        <v>343.25</v>
      </c>
      <c r="L16" s="18">
        <f>L9-10</f>
        <v>337.5</v>
      </c>
      <c r="M16" s="18">
        <f>M10-10</f>
        <v>276.8</v>
      </c>
    </row>
    <row r="17" spans="1:13">
      <c r="A17" s="136"/>
      <c r="B17" s="58" t="s">
        <v>65</v>
      </c>
      <c r="C17" s="18">
        <f>C5-28</f>
        <v>2597</v>
      </c>
      <c r="D17" s="18">
        <f t="shared" ref="D17:G17" si="6">D5-28</f>
        <v>2597</v>
      </c>
      <c r="E17" s="18">
        <f t="shared" si="6"/>
        <v>2597</v>
      </c>
      <c r="F17" s="18">
        <f t="shared" si="6"/>
        <v>2597</v>
      </c>
      <c r="G17" s="18">
        <f t="shared" si="6"/>
        <v>2597</v>
      </c>
      <c r="H17" s="58" t="s">
        <v>65</v>
      </c>
      <c r="I17" s="18">
        <f>I5-28</f>
        <v>2597</v>
      </c>
      <c r="J17" s="18">
        <f t="shared" ref="J17:M17" si="7">J5-28</f>
        <v>2597</v>
      </c>
      <c r="K17" s="18">
        <f t="shared" si="7"/>
        <v>2597</v>
      </c>
      <c r="L17" s="18">
        <f t="shared" si="7"/>
        <v>2597</v>
      </c>
      <c r="M17" s="18">
        <f t="shared" si="7"/>
        <v>2597</v>
      </c>
    </row>
    <row r="18" spans="1:13">
      <c r="A18" s="136" t="s">
        <v>16</v>
      </c>
      <c r="B18" s="58" t="s">
        <v>66</v>
      </c>
      <c r="C18" s="18">
        <f>C6-12</f>
        <v>676</v>
      </c>
      <c r="D18" s="18">
        <f>D7-12</f>
        <v>455.33333333333331</v>
      </c>
      <c r="E18" s="18">
        <f>E8-12</f>
        <v>345</v>
      </c>
      <c r="F18" s="18">
        <f>F9-12</f>
        <v>338.5</v>
      </c>
      <c r="G18" s="18">
        <f>G10-12</f>
        <v>278.8</v>
      </c>
      <c r="H18" s="58" t="s">
        <v>66</v>
      </c>
      <c r="I18" s="18">
        <f>I6-12</f>
        <v>673</v>
      </c>
      <c r="J18" s="18">
        <f>J7-12</f>
        <v>452</v>
      </c>
      <c r="K18" s="18">
        <f>K8-12</f>
        <v>341.25</v>
      </c>
      <c r="L18" s="18">
        <f>L9-12</f>
        <v>335.5</v>
      </c>
      <c r="M18" s="18">
        <f>M10-12</f>
        <v>274.8</v>
      </c>
    </row>
    <row r="19" spans="1:13">
      <c r="A19" s="136"/>
      <c r="B19" s="58" t="s">
        <v>67</v>
      </c>
      <c r="C19" s="18">
        <f>C5-30</f>
        <v>2595</v>
      </c>
      <c r="D19" s="18">
        <f t="shared" ref="D19:G19" si="8">D5-30</f>
        <v>2595</v>
      </c>
      <c r="E19" s="18">
        <f t="shared" si="8"/>
        <v>2595</v>
      </c>
      <c r="F19" s="18">
        <f t="shared" si="8"/>
        <v>2595</v>
      </c>
      <c r="G19" s="18">
        <f t="shared" si="8"/>
        <v>2595</v>
      </c>
      <c r="H19" s="58" t="s">
        <v>67</v>
      </c>
      <c r="I19" s="18">
        <f>I5-30</f>
        <v>2595</v>
      </c>
      <c r="J19" s="18">
        <f t="shared" ref="J19:M19" si="9">J5-30</f>
        <v>2595</v>
      </c>
      <c r="K19" s="18">
        <f t="shared" si="9"/>
        <v>2595</v>
      </c>
      <c r="L19" s="18">
        <f t="shared" si="9"/>
        <v>2595</v>
      </c>
      <c r="M19" s="18">
        <f t="shared" si="9"/>
        <v>2595</v>
      </c>
    </row>
    <row r="20" spans="1:13">
      <c r="A20" s="136" t="s">
        <v>17</v>
      </c>
      <c r="B20" s="58" t="s">
        <v>68</v>
      </c>
      <c r="C20" s="18">
        <f>C6-13</f>
        <v>675</v>
      </c>
      <c r="D20" s="18">
        <f>D7-13</f>
        <v>454.33333333333331</v>
      </c>
      <c r="E20" s="18">
        <f>E8-13</f>
        <v>344</v>
      </c>
      <c r="F20" s="18">
        <f>F9-13</f>
        <v>337.5</v>
      </c>
      <c r="G20" s="18">
        <f>G10-13</f>
        <v>277.8</v>
      </c>
      <c r="H20" s="58" t="s">
        <v>68</v>
      </c>
      <c r="I20" s="18">
        <f>I6-13</f>
        <v>672</v>
      </c>
      <c r="J20" s="18">
        <f>J7-13</f>
        <v>451</v>
      </c>
      <c r="K20" s="18">
        <f>K8-13</f>
        <v>340.25</v>
      </c>
      <c r="L20" s="18">
        <f>L9-13</f>
        <v>334.5</v>
      </c>
      <c r="M20" s="18">
        <f>M10-13</f>
        <v>273.8</v>
      </c>
    </row>
    <row r="21" spans="1:13">
      <c r="A21" s="136"/>
      <c r="B21" s="58" t="s">
        <v>69</v>
      </c>
      <c r="C21" s="18">
        <f>C5-31</f>
        <v>2594</v>
      </c>
      <c r="D21" s="18">
        <f t="shared" ref="D21:G21" si="10">D5-31</f>
        <v>2594</v>
      </c>
      <c r="E21" s="18">
        <f t="shared" si="10"/>
        <v>2594</v>
      </c>
      <c r="F21" s="18">
        <f t="shared" si="10"/>
        <v>2594</v>
      </c>
      <c r="G21" s="18">
        <f t="shared" si="10"/>
        <v>2594</v>
      </c>
      <c r="H21" s="58" t="s">
        <v>69</v>
      </c>
      <c r="I21" s="18">
        <f>I5-31</f>
        <v>2594</v>
      </c>
      <c r="J21" s="18">
        <f t="shared" ref="J21:M21" si="11">J5-31</f>
        <v>2594</v>
      </c>
      <c r="K21" s="18">
        <f t="shared" si="11"/>
        <v>2594</v>
      </c>
      <c r="L21" s="18">
        <f t="shared" si="11"/>
        <v>2594</v>
      </c>
      <c r="M21" s="18">
        <f t="shared" si="11"/>
        <v>2594</v>
      </c>
    </row>
  </sheetData>
  <mergeCells count="6">
    <mergeCell ref="H3:M3"/>
    <mergeCell ref="A18:A19"/>
    <mergeCell ref="A20:A21"/>
    <mergeCell ref="A3:A4"/>
    <mergeCell ref="B3:G3"/>
    <mergeCell ref="A16:A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H7" sqref="H7"/>
    </sheetView>
  </sheetViews>
  <sheetFormatPr defaultColWidth="8.85546875" defaultRowHeight="15"/>
  <cols>
    <col min="1" max="1" width="45.85546875" bestFit="1" customWidth="1"/>
    <col min="2" max="2" width="9.140625" bestFit="1" customWidth="1"/>
    <col min="3" max="3" width="16.42578125" customWidth="1"/>
    <col min="4" max="4" width="9.140625" bestFit="1" customWidth="1"/>
    <col min="5" max="5" width="17.140625" customWidth="1"/>
  </cols>
  <sheetData>
    <row r="1" spans="1:5" ht="15.75">
      <c r="A1" s="8" t="s">
        <v>18</v>
      </c>
      <c r="B1" s="7">
        <v>1130</v>
      </c>
    </row>
    <row r="2" spans="1:5" ht="16.5" thickBot="1">
      <c r="A2" s="15" t="s">
        <v>19</v>
      </c>
      <c r="B2" s="16">
        <v>600</v>
      </c>
    </row>
    <row r="3" spans="1:5">
      <c r="A3" s="141" t="s">
        <v>84</v>
      </c>
      <c r="B3" s="123" t="s">
        <v>80</v>
      </c>
      <c r="C3" s="131"/>
      <c r="D3" s="123" t="s">
        <v>81</v>
      </c>
      <c r="E3" s="131"/>
    </row>
    <row r="4" spans="1:5">
      <c r="A4" s="142"/>
      <c r="B4" s="50" t="s">
        <v>82</v>
      </c>
      <c r="C4" s="12" t="s">
        <v>83</v>
      </c>
      <c r="D4" s="50" t="s">
        <v>82</v>
      </c>
      <c r="E4" s="12" t="s">
        <v>83</v>
      </c>
    </row>
    <row r="5" spans="1:5" ht="15.75">
      <c r="A5" s="67" t="s">
        <v>4</v>
      </c>
      <c r="B5" s="50" t="s">
        <v>85</v>
      </c>
      <c r="C5" s="11">
        <f>B1-30</f>
        <v>1100</v>
      </c>
      <c r="D5" s="50" t="s">
        <v>85</v>
      </c>
      <c r="E5" s="11">
        <f>B1-30</f>
        <v>1100</v>
      </c>
    </row>
    <row r="6" spans="1:5" ht="15.75">
      <c r="A6" s="67" t="s">
        <v>75</v>
      </c>
      <c r="B6" s="50" t="s">
        <v>86</v>
      </c>
      <c r="C6" s="11">
        <f>B2-6</f>
        <v>594</v>
      </c>
      <c r="D6" s="50" t="s">
        <v>86</v>
      </c>
      <c r="E6" s="11">
        <f>B2-6</f>
        <v>594</v>
      </c>
    </row>
    <row r="7" spans="1:5">
      <c r="A7" s="13" t="s">
        <v>76</v>
      </c>
      <c r="B7" s="50" t="s">
        <v>32</v>
      </c>
      <c r="C7" s="12">
        <f>C6-52</f>
        <v>542</v>
      </c>
      <c r="D7" s="50" t="s">
        <v>48</v>
      </c>
      <c r="E7" s="12">
        <f>E6-70</f>
        <v>524</v>
      </c>
    </row>
    <row r="8" spans="1:5">
      <c r="A8" s="13" t="s">
        <v>77</v>
      </c>
      <c r="B8" s="50" t="s">
        <v>32</v>
      </c>
      <c r="C8" s="12">
        <f>C6-52</f>
        <v>542</v>
      </c>
      <c r="D8" s="50" t="s">
        <v>48</v>
      </c>
      <c r="E8" s="12">
        <f>E6-70</f>
        <v>524</v>
      </c>
    </row>
    <row r="9" spans="1:5">
      <c r="A9" s="13" t="s">
        <v>78</v>
      </c>
      <c r="B9" s="50" t="s">
        <v>32</v>
      </c>
      <c r="C9" s="12">
        <f>C6-52</f>
        <v>542</v>
      </c>
      <c r="D9" s="50" t="s">
        <v>48</v>
      </c>
      <c r="E9" s="12">
        <f>E6-70</f>
        <v>524</v>
      </c>
    </row>
    <row r="10" spans="1:5">
      <c r="A10" s="13" t="s">
        <v>13</v>
      </c>
      <c r="B10" s="50" t="s">
        <v>33</v>
      </c>
      <c r="C10" s="12">
        <f>B2</f>
        <v>600</v>
      </c>
      <c r="D10" s="50" t="s">
        <v>33</v>
      </c>
      <c r="E10" s="12">
        <f>B2</f>
        <v>600</v>
      </c>
    </row>
    <row r="11" spans="1:5" ht="15.75" thickBot="1">
      <c r="A11" s="62" t="s">
        <v>14</v>
      </c>
      <c r="B11" s="63" t="s">
        <v>33</v>
      </c>
      <c r="C11" s="64">
        <f>B2</f>
        <v>600</v>
      </c>
      <c r="D11" s="63" t="s">
        <v>33</v>
      </c>
      <c r="E11" s="64">
        <f>B2</f>
        <v>600</v>
      </c>
    </row>
    <row r="12" spans="1:5">
      <c r="A12" s="143" t="s">
        <v>15</v>
      </c>
      <c r="B12" s="65" t="s">
        <v>34</v>
      </c>
      <c r="C12" s="17">
        <f>C6-36</f>
        <v>558</v>
      </c>
      <c r="D12" s="65" t="s">
        <v>49</v>
      </c>
      <c r="E12" s="17">
        <f>E6-54</f>
        <v>540</v>
      </c>
    </row>
    <row r="13" spans="1:5">
      <c r="A13" s="139"/>
      <c r="B13" s="60" t="s">
        <v>35</v>
      </c>
      <c r="C13" s="19">
        <f>C5-57</f>
        <v>1043</v>
      </c>
      <c r="D13" s="60" t="s">
        <v>35</v>
      </c>
      <c r="E13" s="19">
        <f>E5-57</f>
        <v>1043</v>
      </c>
    </row>
    <row r="14" spans="1:5">
      <c r="A14" s="139" t="s">
        <v>16</v>
      </c>
      <c r="B14" s="60" t="s">
        <v>36</v>
      </c>
      <c r="C14" s="19">
        <f>C6-38</f>
        <v>556</v>
      </c>
      <c r="D14" s="60" t="s">
        <v>50</v>
      </c>
      <c r="E14" s="19">
        <f>E6-56</f>
        <v>538</v>
      </c>
    </row>
    <row r="15" spans="1:5">
      <c r="A15" s="139"/>
      <c r="B15" s="60" t="s">
        <v>37</v>
      </c>
      <c r="C15" s="19">
        <f>C5-59</f>
        <v>1041</v>
      </c>
      <c r="D15" s="60" t="s">
        <v>37</v>
      </c>
      <c r="E15" s="19">
        <f>E5-59</f>
        <v>1041</v>
      </c>
    </row>
    <row r="16" spans="1:5">
      <c r="A16" s="139" t="s">
        <v>17</v>
      </c>
      <c r="B16" s="60" t="s">
        <v>38</v>
      </c>
      <c r="C16" s="19">
        <f>C6-39</f>
        <v>555</v>
      </c>
      <c r="D16" s="60" t="s">
        <v>51</v>
      </c>
      <c r="E16" s="19">
        <f>E6-57</f>
        <v>537</v>
      </c>
    </row>
    <row r="17" spans="1:5" ht="15.75" thickBot="1">
      <c r="A17" s="140"/>
      <c r="B17" s="61" t="s">
        <v>39</v>
      </c>
      <c r="C17" s="20">
        <f>C5-60</f>
        <v>1040</v>
      </c>
      <c r="D17" s="61" t="s">
        <v>39</v>
      </c>
      <c r="E17" s="20">
        <f>E5-60</f>
        <v>1040</v>
      </c>
    </row>
  </sheetData>
  <mergeCells count="6">
    <mergeCell ref="A16:A17"/>
    <mergeCell ref="B3:C3"/>
    <mergeCell ref="D3:E3"/>
    <mergeCell ref="A3:A4"/>
    <mergeCell ref="A12:A13"/>
    <mergeCell ref="A14:A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8" sqref="B8"/>
    </sheetView>
  </sheetViews>
  <sheetFormatPr defaultColWidth="8.85546875" defaultRowHeight="15"/>
  <cols>
    <col min="1" max="1" width="30.42578125" style="87" bestFit="1" customWidth="1"/>
    <col min="2" max="2" width="31.42578125" style="87" bestFit="1" customWidth="1"/>
    <col min="3" max="3" width="32.7109375" style="87" bestFit="1" customWidth="1"/>
  </cols>
  <sheetData>
    <row r="1" spans="1:3" ht="32.25" customHeight="1">
      <c r="A1" s="144" t="s">
        <v>121</v>
      </c>
      <c r="B1" s="145"/>
      <c r="C1" s="146"/>
    </row>
    <row r="2" spans="1:3" ht="15.75">
      <c r="A2" s="88" t="s">
        <v>109</v>
      </c>
      <c r="B2" s="88" t="s">
        <v>110</v>
      </c>
      <c r="C2" s="88" t="s">
        <v>111</v>
      </c>
    </row>
    <row r="3" spans="1:3" ht="15.75">
      <c r="A3" s="89" t="s">
        <v>112</v>
      </c>
      <c r="B3" s="89" t="s">
        <v>113</v>
      </c>
      <c r="C3" s="89" t="s">
        <v>114</v>
      </c>
    </row>
    <row r="4" spans="1:3" ht="31.5">
      <c r="A4" s="88" t="s">
        <v>115</v>
      </c>
      <c r="B4" s="88" t="s">
        <v>116</v>
      </c>
      <c r="C4" s="88" t="s">
        <v>117</v>
      </c>
    </row>
    <row r="5" spans="1:3" ht="15.75">
      <c r="A5" s="89" t="s">
        <v>118</v>
      </c>
      <c r="B5" s="89" t="s">
        <v>119</v>
      </c>
      <c r="C5" s="89" t="s">
        <v>120</v>
      </c>
    </row>
    <row r="7" spans="1:3">
      <c r="A7"/>
    </row>
  </sheetData>
  <mergeCells count="1">
    <mergeCell ref="A1:C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18"/>
  <sheetViews>
    <sheetView workbookViewId="0">
      <selection activeCell="E15" sqref="E15"/>
    </sheetView>
  </sheetViews>
  <sheetFormatPr defaultColWidth="8.85546875" defaultRowHeight="15"/>
  <cols>
    <col min="1" max="1" width="26.42578125" style="31" bestFit="1" customWidth="1"/>
    <col min="2" max="2" width="12.28515625" style="31" bestFit="1" customWidth="1"/>
    <col min="3" max="3" width="12.140625" style="31" bestFit="1" customWidth="1"/>
    <col min="4" max="4" width="7.7109375" style="31" bestFit="1" customWidth="1"/>
    <col min="5" max="5" width="8.85546875" style="31" bestFit="1" customWidth="1"/>
    <col min="6" max="6" width="9.42578125" style="31" customWidth="1"/>
    <col min="7" max="7" width="8.85546875" style="31" bestFit="1" customWidth="1"/>
    <col min="8" max="8" width="8.28515625" style="31" bestFit="1" customWidth="1"/>
    <col min="9" max="9" width="8.85546875" style="31" bestFit="1" customWidth="1"/>
    <col min="10" max="10" width="7" style="31" bestFit="1" customWidth="1"/>
    <col min="11" max="11" width="9" style="31" bestFit="1" customWidth="1"/>
    <col min="12" max="16384" width="8.85546875" style="31"/>
  </cols>
  <sheetData>
    <row r="1" spans="1:8" ht="19.5" thickBot="1">
      <c r="A1" s="154" t="s">
        <v>151</v>
      </c>
      <c r="B1" s="155"/>
      <c r="C1" s="155"/>
      <c r="D1" s="155"/>
      <c r="E1" s="155"/>
      <c r="F1" s="155"/>
      <c r="G1" s="155"/>
      <c r="H1" s="156"/>
    </row>
    <row r="2" spans="1:8" ht="15" customHeight="1" thickBot="1">
      <c r="A2" s="152" t="s">
        <v>152</v>
      </c>
      <c r="B2" s="157" t="s">
        <v>128</v>
      </c>
      <c r="C2" s="158"/>
      <c r="D2" s="147" t="s">
        <v>123</v>
      </c>
      <c r="E2" s="149"/>
      <c r="F2" s="147" t="s">
        <v>148</v>
      </c>
      <c r="G2" s="148"/>
      <c r="H2" s="149"/>
    </row>
    <row r="3" spans="1:8">
      <c r="A3" s="152"/>
      <c r="B3" s="106" t="s">
        <v>129</v>
      </c>
      <c r="C3" s="107" t="s">
        <v>130</v>
      </c>
      <c r="D3" s="97" t="s">
        <v>133</v>
      </c>
      <c r="E3" s="108" t="s">
        <v>134</v>
      </c>
      <c r="F3" s="97" t="s">
        <v>149</v>
      </c>
      <c r="G3" s="110" t="s">
        <v>136</v>
      </c>
      <c r="H3" s="111" t="s">
        <v>137</v>
      </c>
    </row>
    <row r="4" spans="1:8" ht="19.5" thickBot="1">
      <c r="A4" s="152"/>
      <c r="B4" s="100">
        <v>2815</v>
      </c>
      <c r="C4" s="101">
        <v>5350</v>
      </c>
      <c r="D4" s="102" t="s">
        <v>126</v>
      </c>
      <c r="E4" s="109">
        <f>IF(D4="C",25,35)</f>
        <v>25</v>
      </c>
      <c r="F4" s="103">
        <v>10</v>
      </c>
      <c r="G4" s="112">
        <f>IF(F4=10,57,IF(F4=8,59,60))</f>
        <v>57</v>
      </c>
      <c r="H4" s="113">
        <f>MAX(H6:H11)</f>
        <v>36</v>
      </c>
    </row>
    <row r="5" spans="1:8" ht="15.75" thickBot="1">
      <c r="A5" s="152"/>
      <c r="B5" s="157" t="s">
        <v>131</v>
      </c>
      <c r="C5" s="158"/>
      <c r="D5" s="157" t="s">
        <v>122</v>
      </c>
      <c r="E5" s="158"/>
      <c r="H5" s="90" t="s">
        <v>146</v>
      </c>
    </row>
    <row r="6" spans="1:8">
      <c r="A6" s="152"/>
      <c r="B6" s="106" t="s">
        <v>132</v>
      </c>
      <c r="C6" s="107" t="s">
        <v>147</v>
      </c>
      <c r="D6" s="97" t="s">
        <v>135</v>
      </c>
      <c r="E6" s="108" t="s">
        <v>134</v>
      </c>
      <c r="H6" s="96">
        <f>IF(AND($D$4="C",$F$4=10),36,0)</f>
        <v>36</v>
      </c>
    </row>
    <row r="7" spans="1:8" ht="19.5" thickBot="1">
      <c r="A7" s="153"/>
      <c r="B7" s="104">
        <v>4</v>
      </c>
      <c r="C7" s="95">
        <f>B7-1</f>
        <v>3</v>
      </c>
      <c r="D7" s="105">
        <v>1</v>
      </c>
      <c r="E7" s="109">
        <f>IF(D7=1,10,0)</f>
        <v>10</v>
      </c>
      <c r="H7" s="96">
        <f>IF(AND($D$4="C",$F$4=8),38,0)</f>
        <v>0</v>
      </c>
    </row>
    <row r="8" spans="1:8" ht="6" customHeight="1" thickBot="1">
      <c r="H8" s="96">
        <f>IF(AND($D$4="C",$F$4=4),39,0)</f>
        <v>0</v>
      </c>
    </row>
    <row r="9" spans="1:8" ht="15.75">
      <c r="A9" s="150" t="s">
        <v>150</v>
      </c>
      <c r="B9" s="151"/>
      <c r="H9" s="96">
        <f>IF(AND($D$4="H",$F$4=10),54,0)</f>
        <v>0</v>
      </c>
    </row>
    <row r="10" spans="1:8">
      <c r="A10" s="91" t="s">
        <v>145</v>
      </c>
      <c r="B10" s="92" t="s">
        <v>144</v>
      </c>
      <c r="H10" s="96">
        <f>IF(AND($D$4="H",$F$4=8),56,0)</f>
        <v>0</v>
      </c>
    </row>
    <row r="11" spans="1:8" ht="18.75">
      <c r="A11" s="93" t="s">
        <v>124</v>
      </c>
      <c r="B11" s="98">
        <f>B4-40</f>
        <v>2775</v>
      </c>
      <c r="E11"/>
      <c r="H11" s="96">
        <f>IF(AND($D$4="H",$F$4=4),57,0)</f>
        <v>0</v>
      </c>
    </row>
    <row r="12" spans="1:8" ht="18.75">
      <c r="A12" s="93" t="s">
        <v>125</v>
      </c>
      <c r="B12" s="98">
        <f>(C4+(E4*C7-E7))/B7</f>
        <v>1353.75</v>
      </c>
    </row>
    <row r="13" spans="1:8" ht="18.75">
      <c r="A13" s="93" t="s">
        <v>138</v>
      </c>
      <c r="B13" s="98">
        <f>C4</f>
        <v>5350</v>
      </c>
    </row>
    <row r="14" spans="1:8" ht="18.75">
      <c r="A14" s="93" t="s">
        <v>139</v>
      </c>
      <c r="B14" s="98">
        <f>B13</f>
        <v>5350</v>
      </c>
    </row>
    <row r="15" spans="1:8" ht="18.75">
      <c r="A15" s="93" t="s">
        <v>140</v>
      </c>
      <c r="B15" s="98">
        <f>IF(D4="C",$B$12-52,$B$12-70)</f>
        <v>1301.75</v>
      </c>
    </row>
    <row r="16" spans="1:8" ht="18.75">
      <c r="A16" s="93" t="s">
        <v>141</v>
      </c>
      <c r="B16" s="98">
        <f>B15</f>
        <v>1301.75</v>
      </c>
    </row>
    <row r="17" spans="1:2" ht="18.75">
      <c r="A17" s="93" t="s">
        <v>142</v>
      </c>
      <c r="B17" s="98">
        <f>B11-G4</f>
        <v>2718</v>
      </c>
    </row>
    <row r="18" spans="1:2" ht="19.5" thickBot="1">
      <c r="A18" s="94" t="s">
        <v>143</v>
      </c>
      <c r="B18" s="99">
        <f>B12-H4</f>
        <v>1317.75</v>
      </c>
    </row>
  </sheetData>
  <mergeCells count="8">
    <mergeCell ref="F2:H2"/>
    <mergeCell ref="A9:B9"/>
    <mergeCell ref="A2:A7"/>
    <mergeCell ref="A1:H1"/>
    <mergeCell ref="B2:C2"/>
    <mergeCell ref="B5:C5"/>
    <mergeCell ref="D2:E2"/>
    <mergeCell ref="D5:E5"/>
  </mergeCells>
  <conditionalFormatting sqref="D7">
    <cfRule type="iconSet" priority="1">
      <iconSet iconSet="3Symbols2" showValue="0">
        <cfvo type="percent" val="0"/>
        <cfvo type="num" val="0" gte="0"/>
        <cfvo type="num" val="1"/>
      </iconSet>
    </cfRule>
  </conditionalFormatting>
  <dataValidations count="2">
    <dataValidation type="list" allowBlank="1" showInputMessage="1" showErrorMessage="1" sqref="D4">
      <formula1>ручка</formula1>
    </dataValidation>
    <dataValidation type="list" allowBlank="1" showInputMessage="1" showErrorMessage="1" sqref="F4">
      <formula1>наполнение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1" sqref="B1"/>
    </sheetView>
  </sheetViews>
  <sheetFormatPr defaultColWidth="8.85546875" defaultRowHeight="15"/>
  <sheetData>
    <row r="1" spans="1:2">
      <c r="A1" t="s">
        <v>126</v>
      </c>
      <c r="B1">
        <v>4</v>
      </c>
    </row>
    <row r="2" spans="1:2">
      <c r="A2" t="s">
        <v>127</v>
      </c>
      <c r="B2">
        <v>8</v>
      </c>
    </row>
    <row r="3" spans="1:2">
      <c r="B3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Раздвижные двери</vt:lpstr>
      <vt:lpstr>Эконом</vt:lpstr>
      <vt:lpstr>ЛАЙТ</vt:lpstr>
      <vt:lpstr>Распашные двери</vt:lpstr>
      <vt:lpstr>Средняя рамка</vt:lpstr>
      <vt:lpstr>Микс Основная система</vt:lpstr>
      <vt:lpstr>списки</vt:lpstr>
      <vt:lpstr>Лист1</vt:lpstr>
      <vt:lpstr>наполнение</vt:lpstr>
      <vt:lpstr>ручка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</cp:lastModifiedBy>
  <cp:lastPrinted>2010-08-20T08:28:59Z</cp:lastPrinted>
  <dcterms:created xsi:type="dcterms:W3CDTF">2010-04-28T11:32:42Z</dcterms:created>
  <dcterms:modified xsi:type="dcterms:W3CDTF">2016-03-19T10:29:55Z</dcterms:modified>
</cp:coreProperties>
</file>